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C:\Users\user\Desktop\Documentos pmap\Documentos 2025\PPA 2026-2029\"/>
    </mc:Choice>
  </mc:AlternateContent>
  <xr:revisionPtr revIDLastSave="0" documentId="13_ncr:1_{DC4009E7-7AA0-48A6-BF1D-29104533B365}" xr6:coauthVersionLast="47" xr6:coauthVersionMax="47" xr10:uidLastSave="{00000000-0000-0000-0000-000000000000}"/>
  <bookViews>
    <workbookView xWindow="-120" yWindow="-120" windowWidth="29040" windowHeight="15720" tabRatio="791" activeTab="8" xr2:uid="{FE3BC5FA-5CF7-46A0-9019-3C34D41F3CE3}"/>
  </bookViews>
  <sheets>
    <sheet name="Parâmetros" sheetId="7" r:id="rId1"/>
    <sheet name="Projeções" sheetId="26" r:id="rId2"/>
    <sheet name="RCL" sheetId="45" r:id="rId3"/>
    <sheet name="Pessoal" sheetId="46" r:id="rId4"/>
    <sheet name="Câmara" sheetId="47" r:id="rId5"/>
    <sheet name="Educação" sheetId="48" r:id="rId6"/>
    <sheet name="Saúde" sheetId="49" r:id="rId7"/>
    <sheet name="Ass.Social" sheetId="50" r:id="rId8"/>
    <sheet name="Consolidação" sheetId="56" r:id="rId9"/>
  </sheets>
  <definedNames>
    <definedName name="_xlnm.Print_Area" localSheetId="0">Parâmetros!$A$7:$F$23</definedName>
    <definedName name="_xlnm.Print_Area" localSheetId="1">Projeções!$A$1:$AL$217</definedName>
    <definedName name="Z_16B3F100_CCE8_11D8_BD62_000C6E3CD3F1_.wvu.Cols" localSheetId="0" hidden="1">Parâmetros!$B:$B,Parâmetros!#REF!</definedName>
    <definedName name="Z_16B3F100_CCE8_11D8_BD62_000C6E3CD3F1_.wvu.Rows" localSheetId="0" hidden="1">Parâmetros!$1:$6,Parâmetros!#REF!,Parâmetros!$12:$12</definedName>
  </definedNames>
  <calcPr calcId="191029"/>
  <customWorkbookViews>
    <customWorkbookView name="Julio - Modo de exibição pessoal" guid="{16B3F100-CCE8-11D8-BD62-000C6E3CD3F1}" mergeInterval="0" personalView="1" maximized="1" windowWidth="796" windowHeight="438" tabRatio="602" activeSheetId="17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1" i="26" l="1"/>
  <c r="E129" i="26"/>
  <c r="G153" i="26"/>
  <c r="G152" i="26"/>
  <c r="F152" i="26"/>
  <c r="F151" i="26"/>
  <c r="F38" i="26"/>
  <c r="F10" i="26"/>
  <c r="G10" i="26" s="1"/>
  <c r="H10" i="26" s="1"/>
  <c r="I10" i="26" s="1"/>
  <c r="D75" i="26"/>
  <c r="F75" i="26" s="1"/>
  <c r="G75" i="26" s="1"/>
  <c r="H75" i="26" s="1"/>
  <c r="D10" i="26"/>
  <c r="D9" i="26"/>
  <c r="F119" i="26"/>
  <c r="G119" i="26" s="1"/>
  <c r="H119" i="26" s="1"/>
  <c r="I119" i="26" s="1"/>
  <c r="F78" i="26"/>
  <c r="F76" i="26" s="1"/>
  <c r="F73" i="26" s="1"/>
  <c r="F72" i="26"/>
  <c r="G72" i="26" s="1"/>
  <c r="H72" i="26" s="1"/>
  <c r="I72" i="26" s="1"/>
  <c r="F69" i="26"/>
  <c r="G69" i="26" s="1"/>
  <c r="H69" i="26" s="1"/>
  <c r="I69" i="26" s="1"/>
  <c r="G59" i="26"/>
  <c r="H59" i="26" s="1"/>
  <c r="G61" i="26"/>
  <c r="H61" i="26"/>
  <c r="I61" i="26" s="1"/>
  <c r="I65" i="26"/>
  <c r="G66" i="26"/>
  <c r="H66" i="26"/>
  <c r="I66" i="26" s="1"/>
  <c r="E18" i="48" s="1"/>
  <c r="G68" i="26"/>
  <c r="H68" i="26" s="1"/>
  <c r="I68" i="26" s="1"/>
  <c r="C18" i="48"/>
  <c r="G55" i="26"/>
  <c r="D17" i="47" s="1"/>
  <c r="H55" i="26"/>
  <c r="G53" i="26"/>
  <c r="G40" i="26"/>
  <c r="D14" i="47" s="1"/>
  <c r="G48" i="26"/>
  <c r="H48" i="26" s="1"/>
  <c r="G50" i="26"/>
  <c r="H50" i="26" s="1"/>
  <c r="I50" i="26" s="1"/>
  <c r="F53" i="26"/>
  <c r="G27" i="26"/>
  <c r="H27" i="26"/>
  <c r="I27" i="26" s="1"/>
  <c r="G23" i="26"/>
  <c r="H23" i="26" s="1"/>
  <c r="I23" i="26" s="1"/>
  <c r="E14" i="49" s="1"/>
  <c r="F23" i="26"/>
  <c r="F22" i="26"/>
  <c r="G22" i="26" s="1"/>
  <c r="E162" i="26"/>
  <c r="F162" i="26" s="1"/>
  <c r="E151" i="26"/>
  <c r="E152" i="26"/>
  <c r="H152" i="26" s="1"/>
  <c r="E153" i="26"/>
  <c r="F153" i="26" s="1"/>
  <c r="E154" i="26"/>
  <c r="E155" i="26"/>
  <c r="E150" i="26"/>
  <c r="E133" i="26"/>
  <c r="C176" i="26"/>
  <c r="C170" i="26" s="1"/>
  <c r="C155" i="26"/>
  <c r="C132" i="26"/>
  <c r="C130" i="26"/>
  <c r="D176" i="26"/>
  <c r="D170" i="26" s="1"/>
  <c r="D155" i="26"/>
  <c r="D132" i="26"/>
  <c r="E132" i="26" s="1"/>
  <c r="D130" i="26"/>
  <c r="D134" i="26" s="1"/>
  <c r="E134" i="26" s="1"/>
  <c r="D35" i="26"/>
  <c r="D42" i="26"/>
  <c r="D22" i="26"/>
  <c r="D21" i="26" s="1"/>
  <c r="D19" i="26" s="1"/>
  <c r="D26" i="26"/>
  <c r="F26" i="26" s="1"/>
  <c r="G26" i="26" s="1"/>
  <c r="H26" i="26" s="1"/>
  <c r="I26" i="26" s="1"/>
  <c r="C70" i="26"/>
  <c r="F70" i="26" s="1"/>
  <c r="G70" i="26" s="1"/>
  <c r="H70" i="26" s="1"/>
  <c r="C9" i="26"/>
  <c r="F9" i="26" s="1"/>
  <c r="C90" i="26"/>
  <c r="C83" i="26" s="1"/>
  <c r="C79" i="26" s="1"/>
  <c r="C35" i="26"/>
  <c r="F35" i="26" s="1"/>
  <c r="G35" i="26" s="1"/>
  <c r="H35" i="26" s="1"/>
  <c r="I35" i="26" s="1"/>
  <c r="C25" i="26"/>
  <c r="F25" i="26" s="1"/>
  <c r="G25" i="26" s="1"/>
  <c r="H25" i="26" s="1"/>
  <c r="I25" i="26" s="1"/>
  <c r="C24" i="26"/>
  <c r="C22" i="26"/>
  <c r="C20" i="26"/>
  <c r="F20" i="26" s="1"/>
  <c r="G20" i="26" s="1"/>
  <c r="H20" i="26" s="1"/>
  <c r="I20" i="26" s="1"/>
  <c r="A2" i="56"/>
  <c r="A2" i="50"/>
  <c r="A2" i="49"/>
  <c r="A2" i="48"/>
  <c r="A2" i="47"/>
  <c r="A2" i="46"/>
  <c r="A2" i="45"/>
  <c r="A2" i="26"/>
  <c r="C13" i="45"/>
  <c r="D13" i="45"/>
  <c r="E13" i="45" s="1"/>
  <c r="C12" i="45"/>
  <c r="D12" i="45" s="1"/>
  <c r="E12" i="45" s="1"/>
  <c r="F63" i="26"/>
  <c r="G63" i="26" s="1"/>
  <c r="C9" i="50" s="1"/>
  <c r="A10" i="49"/>
  <c r="B19" i="47"/>
  <c r="B13" i="47"/>
  <c r="E113" i="26"/>
  <c r="E111" i="26"/>
  <c r="D113" i="26"/>
  <c r="D111" i="26" s="1"/>
  <c r="C113" i="26"/>
  <c r="C111" i="26"/>
  <c r="E52" i="26"/>
  <c r="D52" i="26"/>
  <c r="C52" i="26"/>
  <c r="C36" i="26" s="1"/>
  <c r="F64" i="26"/>
  <c r="B10" i="48"/>
  <c r="B10" i="49"/>
  <c r="C10" i="48"/>
  <c r="C10" i="49"/>
  <c r="F95" i="26"/>
  <c r="G95" i="26" s="1"/>
  <c r="F89" i="26"/>
  <c r="G89" i="26"/>
  <c r="F86" i="26"/>
  <c r="G86" i="26"/>
  <c r="F82" i="26"/>
  <c r="G82" i="26" s="1"/>
  <c r="F68" i="26"/>
  <c r="F67" i="26"/>
  <c r="G67" i="26" s="1"/>
  <c r="H67" i="26" s="1"/>
  <c r="I67" i="26" s="1"/>
  <c r="F66" i="26"/>
  <c r="B18" i="48"/>
  <c r="F65" i="26"/>
  <c r="G65" i="26" s="1"/>
  <c r="H65" i="26" s="1"/>
  <c r="F62" i="26"/>
  <c r="G62" i="26" s="1"/>
  <c r="H62" i="26" s="1"/>
  <c r="I62" i="26" s="1"/>
  <c r="F61" i="26"/>
  <c r="B11" i="50" s="1"/>
  <c r="F60" i="26"/>
  <c r="G60" i="26" s="1"/>
  <c r="F58" i="26"/>
  <c r="G58" i="26" s="1"/>
  <c r="F59" i="26"/>
  <c r="F57" i="26"/>
  <c r="G57" i="26" s="1"/>
  <c r="H57" i="26" s="1"/>
  <c r="I57" i="26" s="1"/>
  <c r="F51" i="26"/>
  <c r="G51" i="26"/>
  <c r="H51" i="26" s="1"/>
  <c r="I51" i="26" s="1"/>
  <c r="F50" i="26"/>
  <c r="F49" i="26"/>
  <c r="G49" i="26" s="1"/>
  <c r="F48" i="26"/>
  <c r="F47" i="26"/>
  <c r="G47" i="26" s="1"/>
  <c r="H47" i="26" s="1"/>
  <c r="I47" i="26" s="1"/>
  <c r="F46" i="26"/>
  <c r="G46" i="26"/>
  <c r="H46" i="26" s="1"/>
  <c r="D8" i="50" s="1"/>
  <c r="F45" i="26"/>
  <c r="G45" i="26" s="1"/>
  <c r="H45" i="26" s="1"/>
  <c r="I45" i="26" s="1"/>
  <c r="F44" i="26"/>
  <c r="G44" i="26"/>
  <c r="H44" i="26" s="1"/>
  <c r="I44" i="26" s="1"/>
  <c r="F43" i="26"/>
  <c r="G43" i="26" s="1"/>
  <c r="B15" i="48"/>
  <c r="E76" i="26"/>
  <c r="E73" i="26" s="1"/>
  <c r="D76" i="26"/>
  <c r="C76" i="26"/>
  <c r="C73" i="26" s="1"/>
  <c r="E13" i="26"/>
  <c r="E12" i="26" s="1"/>
  <c r="D13" i="26"/>
  <c r="D12" i="26" s="1"/>
  <c r="C13" i="26"/>
  <c r="C12" i="26"/>
  <c r="F92" i="26"/>
  <c r="H90" i="26"/>
  <c r="A24" i="56"/>
  <c r="A23" i="56"/>
  <c r="A22" i="56"/>
  <c r="A21" i="56"/>
  <c r="A20" i="56"/>
  <c r="A19" i="56"/>
  <c r="A18" i="56"/>
  <c r="A17" i="56"/>
  <c r="A1" i="56"/>
  <c r="A24" i="50"/>
  <c r="A23" i="50"/>
  <c r="A22" i="50"/>
  <c r="A21" i="50"/>
  <c r="A20" i="50"/>
  <c r="A19" i="50"/>
  <c r="A18" i="50"/>
  <c r="A17" i="50"/>
  <c r="E21" i="26"/>
  <c r="E19" i="26" s="1"/>
  <c r="A1" i="50"/>
  <c r="A31" i="49"/>
  <c r="A30" i="49"/>
  <c r="A29" i="49"/>
  <c r="A28" i="49"/>
  <c r="A27" i="49"/>
  <c r="A26" i="49"/>
  <c r="A25" i="49"/>
  <c r="A24" i="49"/>
  <c r="A1" i="49"/>
  <c r="B12" i="50"/>
  <c r="C118" i="26"/>
  <c r="A24" i="48"/>
  <c r="A31" i="48"/>
  <c r="A30" i="48"/>
  <c r="A29" i="48"/>
  <c r="A28" i="48"/>
  <c r="A27" i="48"/>
  <c r="A26" i="48"/>
  <c r="A25" i="48"/>
  <c r="A1" i="48"/>
  <c r="A1" i="47"/>
  <c r="A26" i="47"/>
  <c r="A38" i="47"/>
  <c r="A37" i="47"/>
  <c r="A36" i="47"/>
  <c r="A35" i="47"/>
  <c r="A34" i="47"/>
  <c r="A33" i="47"/>
  <c r="A32" i="47"/>
  <c r="A31" i="47"/>
  <c r="B20" i="47"/>
  <c r="B18" i="47"/>
  <c r="B17" i="47"/>
  <c r="B15" i="47"/>
  <c r="B16" i="47"/>
  <c r="B14" i="47"/>
  <c r="B12" i="47"/>
  <c r="B10" i="47"/>
  <c r="B9" i="47"/>
  <c r="F190" i="26"/>
  <c r="B24" i="56" s="1"/>
  <c r="F189" i="26"/>
  <c r="F188" i="26"/>
  <c r="B24" i="50"/>
  <c r="F187" i="26"/>
  <c r="F186" i="26"/>
  <c r="F185" i="26"/>
  <c r="E184" i="26"/>
  <c r="D184" i="26"/>
  <c r="C184" i="26"/>
  <c r="C177" i="26"/>
  <c r="F183" i="26"/>
  <c r="F182" i="26"/>
  <c r="G182" i="26"/>
  <c r="F181" i="26"/>
  <c r="G181" i="26"/>
  <c r="H181" i="26" s="1"/>
  <c r="I181" i="26" s="1"/>
  <c r="F180" i="26"/>
  <c r="F179" i="26"/>
  <c r="F177" i="26" s="1"/>
  <c r="G179" i="26"/>
  <c r="F178" i="26"/>
  <c r="E177" i="26"/>
  <c r="D177" i="26"/>
  <c r="F175" i="26"/>
  <c r="F174" i="26"/>
  <c r="G174" i="26" s="1"/>
  <c r="F173" i="26"/>
  <c r="G173" i="26"/>
  <c r="C30" i="48" s="1"/>
  <c r="F172" i="26"/>
  <c r="F170" i="26" s="1"/>
  <c r="F171" i="26"/>
  <c r="E170" i="26"/>
  <c r="C22" i="56"/>
  <c r="F168" i="26"/>
  <c r="G168" i="26"/>
  <c r="F167" i="26"/>
  <c r="G167" i="26"/>
  <c r="F166" i="26"/>
  <c r="G166" i="26" s="1"/>
  <c r="C29" i="48" s="1"/>
  <c r="F165" i="26"/>
  <c r="B29" i="49"/>
  <c r="F164" i="26"/>
  <c r="B36" i="47"/>
  <c r="E163" i="26"/>
  <c r="D163" i="26"/>
  <c r="C163" i="26"/>
  <c r="F161" i="26"/>
  <c r="F160" i="26"/>
  <c r="F159" i="26"/>
  <c r="B28" i="48"/>
  <c r="F158" i="26"/>
  <c r="B28" i="49"/>
  <c r="F157" i="26"/>
  <c r="G157" i="26" s="1"/>
  <c r="D156" i="26"/>
  <c r="C156" i="26"/>
  <c r="F154" i="26"/>
  <c r="G154" i="26" s="1"/>
  <c r="B20" i="50"/>
  <c r="B27" i="48"/>
  <c r="F148" i="26"/>
  <c r="B19" i="56" s="1"/>
  <c r="G148" i="26"/>
  <c r="H148" i="26"/>
  <c r="D19" i="56"/>
  <c r="C19" i="56"/>
  <c r="F147" i="26"/>
  <c r="F146" i="26"/>
  <c r="B19" i="50"/>
  <c r="F145" i="26"/>
  <c r="B26" i="48"/>
  <c r="F144" i="26"/>
  <c r="B26" i="49"/>
  <c r="G144" i="26"/>
  <c r="C26" i="49" s="1"/>
  <c r="F143" i="26"/>
  <c r="G143" i="26"/>
  <c r="C33" i="47"/>
  <c r="C149" i="26"/>
  <c r="E142" i="26"/>
  <c r="D142" i="26"/>
  <c r="C142" i="26"/>
  <c r="F141" i="26"/>
  <c r="F140" i="26"/>
  <c r="G140" i="26" s="1"/>
  <c r="F139" i="26"/>
  <c r="G139" i="26"/>
  <c r="I139" i="26" s="1"/>
  <c r="E18" i="50" s="1"/>
  <c r="C18" i="50"/>
  <c r="F138" i="26"/>
  <c r="G138" i="26" s="1"/>
  <c r="F137" i="26"/>
  <c r="G137" i="26"/>
  <c r="C25" i="49"/>
  <c r="F136" i="26"/>
  <c r="B32" i="47"/>
  <c r="F109" i="26"/>
  <c r="E135" i="26"/>
  <c r="D135" i="26"/>
  <c r="C135" i="26"/>
  <c r="F133" i="26"/>
  <c r="G133" i="26" s="1"/>
  <c r="H133" i="26" s="1"/>
  <c r="D128" i="26"/>
  <c r="A1" i="46"/>
  <c r="A1" i="45"/>
  <c r="A1" i="26"/>
  <c r="D7" i="26"/>
  <c r="D118" i="26" s="1"/>
  <c r="B8" i="47"/>
  <c r="F11" i="26"/>
  <c r="G11" i="26"/>
  <c r="F14" i="26"/>
  <c r="F13" i="26" s="1"/>
  <c r="F12" i="26" s="1"/>
  <c r="F15" i="26"/>
  <c r="F16" i="26"/>
  <c r="G16" i="26" s="1"/>
  <c r="G198" i="26" s="1"/>
  <c r="F17" i="26"/>
  <c r="G17" i="26"/>
  <c r="H17" i="26" s="1"/>
  <c r="F18" i="26"/>
  <c r="B14" i="48"/>
  <c r="F21" i="26"/>
  <c r="F24" i="26"/>
  <c r="G24" i="26" s="1"/>
  <c r="F27" i="26"/>
  <c r="F28" i="26"/>
  <c r="G28" i="26" s="1"/>
  <c r="H28" i="26" s="1"/>
  <c r="I28" i="26" s="1"/>
  <c r="F29" i="26"/>
  <c r="G29" i="26" s="1"/>
  <c r="H29" i="26" s="1"/>
  <c r="I29" i="26" s="1"/>
  <c r="F30" i="26"/>
  <c r="G30" i="26" s="1"/>
  <c r="H30" i="26" s="1"/>
  <c r="I30" i="26" s="1"/>
  <c r="F31" i="26"/>
  <c r="G31" i="26" s="1"/>
  <c r="H31" i="26" s="1"/>
  <c r="I31" i="26" s="1"/>
  <c r="F32" i="26"/>
  <c r="G32" i="26" s="1"/>
  <c r="H32" i="26" s="1"/>
  <c r="I32" i="26" s="1"/>
  <c r="F33" i="26"/>
  <c r="G33" i="26" s="1"/>
  <c r="H33" i="26" s="1"/>
  <c r="I33" i="26" s="1"/>
  <c r="F34" i="26"/>
  <c r="G34" i="26" s="1"/>
  <c r="H34" i="26" s="1"/>
  <c r="I34" i="26" s="1"/>
  <c r="C37" i="26"/>
  <c r="E37" i="26"/>
  <c r="E36" i="26" s="1"/>
  <c r="E8" i="26" s="1"/>
  <c r="C12" i="47"/>
  <c r="F39" i="26"/>
  <c r="G39" i="26" s="1"/>
  <c r="F40" i="26"/>
  <c r="C14" i="47" s="1"/>
  <c r="F41" i="26"/>
  <c r="G41" i="26"/>
  <c r="H41" i="26" s="1"/>
  <c r="I41" i="26" s="1"/>
  <c r="F54" i="26"/>
  <c r="F52" i="26" s="1"/>
  <c r="F55" i="26"/>
  <c r="C17" i="47" s="1"/>
  <c r="F56" i="26"/>
  <c r="G56" i="26" s="1"/>
  <c r="F71" i="26"/>
  <c r="F77" i="26"/>
  <c r="F80" i="26"/>
  <c r="G80" i="26" s="1"/>
  <c r="D83" i="26"/>
  <c r="D79" i="26" s="1"/>
  <c r="E83" i="26"/>
  <c r="E79" i="26" s="1"/>
  <c r="F85" i="26"/>
  <c r="G85" i="26"/>
  <c r="H85" i="26"/>
  <c r="F87" i="26"/>
  <c r="B17" i="49" s="1"/>
  <c r="G87" i="26"/>
  <c r="F88" i="26"/>
  <c r="G88" i="26" s="1"/>
  <c r="F94" i="26"/>
  <c r="B17" i="48" s="1"/>
  <c r="F97" i="26"/>
  <c r="G97" i="26"/>
  <c r="H97" i="26" s="1"/>
  <c r="F99" i="26"/>
  <c r="G99" i="26" s="1"/>
  <c r="F100" i="26"/>
  <c r="F101" i="26"/>
  <c r="C102" i="26"/>
  <c r="D102" i="26"/>
  <c r="E102" i="26"/>
  <c r="F103" i="26"/>
  <c r="G103" i="26"/>
  <c r="H103" i="26" s="1"/>
  <c r="H102" i="26" s="1"/>
  <c r="C105" i="26"/>
  <c r="D105" i="26"/>
  <c r="E105" i="26"/>
  <c r="F106" i="26"/>
  <c r="G106" i="26" s="1"/>
  <c r="F107" i="26"/>
  <c r="G107" i="26"/>
  <c r="C108" i="26"/>
  <c r="D108" i="26"/>
  <c r="E108" i="26"/>
  <c r="F110" i="26"/>
  <c r="F115" i="26"/>
  <c r="A122" i="26"/>
  <c r="A123" i="26"/>
  <c r="C127" i="26"/>
  <c r="D127" i="26" s="1"/>
  <c r="E127" i="26" s="1"/>
  <c r="F127" i="26" s="1"/>
  <c r="G127" i="26" s="1"/>
  <c r="H127" i="26" s="1"/>
  <c r="I127" i="26" s="1"/>
  <c r="D193" i="26"/>
  <c r="E193" i="26"/>
  <c r="F193" i="26"/>
  <c r="C197" i="26"/>
  <c r="C198" i="26"/>
  <c r="D198" i="26"/>
  <c r="E198" i="26"/>
  <c r="C199" i="26"/>
  <c r="D199" i="26"/>
  <c r="E199" i="26"/>
  <c r="F199" i="26"/>
  <c r="G199" i="26"/>
  <c r="I199" i="26"/>
  <c r="C200" i="26"/>
  <c r="D200" i="26"/>
  <c r="E200" i="26"/>
  <c r="F200" i="26"/>
  <c r="G200" i="26"/>
  <c r="I200" i="26"/>
  <c r="C201" i="26"/>
  <c r="D201" i="26"/>
  <c r="E201" i="26"/>
  <c r="F201" i="26"/>
  <c r="G201" i="26"/>
  <c r="I201" i="26"/>
  <c r="C202" i="26"/>
  <c r="D202" i="26"/>
  <c r="E202" i="26"/>
  <c r="F202" i="26"/>
  <c r="G202" i="26"/>
  <c r="I202" i="26"/>
  <c r="C203" i="26"/>
  <c r="D203" i="26"/>
  <c r="E203" i="26"/>
  <c r="F203" i="26"/>
  <c r="G203" i="26"/>
  <c r="I203" i="26"/>
  <c r="C204" i="26"/>
  <c r="D204" i="26"/>
  <c r="E204" i="26"/>
  <c r="F204" i="26"/>
  <c r="G204" i="26"/>
  <c r="I204" i="26"/>
  <c r="C206" i="26"/>
  <c r="D206" i="26"/>
  <c r="E206" i="26"/>
  <c r="F206" i="26"/>
  <c r="G206" i="26"/>
  <c r="I206" i="26"/>
  <c r="C207" i="26"/>
  <c r="D207" i="26"/>
  <c r="E207" i="26"/>
  <c r="F207" i="26"/>
  <c r="G207" i="26"/>
  <c r="I207" i="26"/>
  <c r="C208" i="26"/>
  <c r="D208" i="26"/>
  <c r="E208" i="26"/>
  <c r="F208" i="26"/>
  <c r="G208" i="26"/>
  <c r="I208" i="26"/>
  <c r="C209" i="26"/>
  <c r="D209" i="26"/>
  <c r="E209" i="26"/>
  <c r="C210" i="26"/>
  <c r="D210" i="26"/>
  <c r="E210" i="26"/>
  <c r="F210" i="26"/>
  <c r="G210" i="26"/>
  <c r="I210" i="26"/>
  <c r="C211" i="26"/>
  <c r="D211" i="26"/>
  <c r="E211" i="26"/>
  <c r="F211" i="26"/>
  <c r="F213" i="26" s="1"/>
  <c r="G211" i="26"/>
  <c r="I211" i="26"/>
  <c r="C212" i="26"/>
  <c r="D212" i="26"/>
  <c r="D213" i="26" s="1"/>
  <c r="E212" i="26"/>
  <c r="F212" i="26"/>
  <c r="G212" i="26"/>
  <c r="G213" i="26" s="1"/>
  <c r="I212" i="26"/>
  <c r="I213" i="26"/>
  <c r="C10" i="7"/>
  <c r="B5" i="45" s="1"/>
  <c r="B6" i="48"/>
  <c r="C6" i="48" s="1"/>
  <c r="D6" i="48" s="1"/>
  <c r="E6" i="48" s="1"/>
  <c r="E197" i="26"/>
  <c r="B6" i="50"/>
  <c r="B15" i="50" s="1"/>
  <c r="C15" i="50" s="1"/>
  <c r="D15" i="50" s="1"/>
  <c r="E15" i="50" s="1"/>
  <c r="B6" i="56"/>
  <c r="C6" i="56"/>
  <c r="D6" i="56" s="1"/>
  <c r="E6" i="56" s="1"/>
  <c r="B15" i="56"/>
  <c r="C15" i="56" s="1"/>
  <c r="D15" i="56" s="1"/>
  <c r="E15" i="56" s="1"/>
  <c r="B6" i="49"/>
  <c r="B22" i="49"/>
  <c r="C22" i="49"/>
  <c r="D22" i="49" s="1"/>
  <c r="E22" i="49" s="1"/>
  <c r="C6" i="49"/>
  <c r="B29" i="47"/>
  <c r="C29" i="47" s="1"/>
  <c r="D29" i="47" s="1"/>
  <c r="E29" i="47" s="1"/>
  <c r="C213" i="26"/>
  <c r="G92" i="26"/>
  <c r="B33" i="47"/>
  <c r="G189" i="26"/>
  <c r="G159" i="26"/>
  <c r="C28" i="48"/>
  <c r="E213" i="26"/>
  <c r="G175" i="26"/>
  <c r="E7" i="26"/>
  <c r="B31" i="48"/>
  <c r="F7" i="26"/>
  <c r="E118" i="26"/>
  <c r="D6" i="49"/>
  <c r="E6" i="49" s="1"/>
  <c r="H189" i="26"/>
  <c r="H188" i="26"/>
  <c r="D24" i="50" s="1"/>
  <c r="G188" i="26"/>
  <c r="B31" i="49"/>
  <c r="G165" i="26"/>
  <c r="C29" i="49"/>
  <c r="G136" i="26"/>
  <c r="H136" i="26"/>
  <c r="D32" i="47" s="1"/>
  <c r="B16" i="48"/>
  <c r="I189" i="26"/>
  <c r="C24" i="50"/>
  <c r="H166" i="26"/>
  <c r="D29" i="48" s="1"/>
  <c r="I166" i="26"/>
  <c r="E29" i="48" s="1"/>
  <c r="G146" i="26"/>
  <c r="H137" i="26"/>
  <c r="D25" i="49"/>
  <c r="G115" i="26"/>
  <c r="H115" i="26"/>
  <c r="B18" i="50"/>
  <c r="G164" i="26"/>
  <c r="H164" i="26"/>
  <c r="G160" i="26"/>
  <c r="C21" i="50" s="1"/>
  <c r="B35" i="47"/>
  <c r="G161" i="26"/>
  <c r="B10" i="50"/>
  <c r="H88" i="26"/>
  <c r="I88" i="26"/>
  <c r="I85" i="26"/>
  <c r="H89" i="26"/>
  <c r="I89" i="26" s="1"/>
  <c r="H86" i="26"/>
  <c r="I86" i="26" s="1"/>
  <c r="G94" i="26"/>
  <c r="I94" i="26" s="1"/>
  <c r="F198" i="26"/>
  <c r="H94" i="26"/>
  <c r="H99" i="26"/>
  <c r="I99" i="26"/>
  <c r="C17" i="49"/>
  <c r="F102" i="26"/>
  <c r="B7" i="50"/>
  <c r="B18" i="49"/>
  <c r="B9" i="50"/>
  <c r="C18" i="47"/>
  <c r="C15" i="47"/>
  <c r="B9" i="48"/>
  <c r="B9" i="49" s="1"/>
  <c r="B8" i="50"/>
  <c r="C7" i="50"/>
  <c r="F176" i="26"/>
  <c r="B30" i="48"/>
  <c r="B22" i="56"/>
  <c r="B21" i="56"/>
  <c r="I75" i="26"/>
  <c r="C18" i="49"/>
  <c r="D18" i="48"/>
  <c r="C13" i="47"/>
  <c r="H40" i="26"/>
  <c r="E14" i="47" s="1"/>
  <c r="D10" i="45"/>
  <c r="D14" i="49"/>
  <c r="H159" i="26"/>
  <c r="D28" i="48"/>
  <c r="G209" i="26"/>
  <c r="F105" i="26"/>
  <c r="H107" i="26"/>
  <c r="I107" i="26" s="1"/>
  <c r="E10" i="45"/>
  <c r="B18" i="56"/>
  <c r="G176" i="26"/>
  <c r="C10" i="47"/>
  <c r="G18" i="26"/>
  <c r="G171" i="26"/>
  <c r="H171" i="26"/>
  <c r="B37" i="47"/>
  <c r="H165" i="26"/>
  <c r="D29" i="49"/>
  <c r="B25" i="49"/>
  <c r="I137" i="26"/>
  <c r="E25" i="49" s="1"/>
  <c r="C19" i="50"/>
  <c r="H146" i="26"/>
  <c r="I146" i="26"/>
  <c r="E19" i="50"/>
  <c r="G102" i="26"/>
  <c r="G71" i="26"/>
  <c r="H71" i="26"/>
  <c r="D22" i="56"/>
  <c r="E22" i="56"/>
  <c r="C14" i="48"/>
  <c r="G141" i="26"/>
  <c r="C18" i="56" s="1"/>
  <c r="G15" i="26"/>
  <c r="H15" i="26" s="1"/>
  <c r="I15" i="26" s="1"/>
  <c r="B14" i="49"/>
  <c r="G147" i="26"/>
  <c r="H147" i="26"/>
  <c r="H160" i="26"/>
  <c r="D21" i="50" s="1"/>
  <c r="I136" i="26"/>
  <c r="E32" i="47" s="1"/>
  <c r="B10" i="45"/>
  <c r="H175" i="26"/>
  <c r="B21" i="50"/>
  <c r="B22" i="50"/>
  <c r="G180" i="26"/>
  <c r="I180" i="26" s="1"/>
  <c r="H180" i="26"/>
  <c r="D12" i="50"/>
  <c r="H161" i="26"/>
  <c r="I161" i="26" s="1"/>
  <c r="H168" i="26"/>
  <c r="C10" i="45"/>
  <c r="G145" i="26"/>
  <c r="H145" i="26" s="1"/>
  <c r="D26" i="48" s="1"/>
  <c r="C26" i="48"/>
  <c r="C36" i="47"/>
  <c r="H140" i="26"/>
  <c r="C32" i="47"/>
  <c r="H139" i="26"/>
  <c r="D18" i="50" s="1"/>
  <c r="F209" i="26"/>
  <c r="H143" i="26"/>
  <c r="D33" i="47"/>
  <c r="F142" i="26"/>
  <c r="I148" i="26"/>
  <c r="E19" i="56" s="1"/>
  <c r="C20" i="47"/>
  <c r="I40" i="26"/>
  <c r="D19" i="50"/>
  <c r="I165" i="26"/>
  <c r="E29" i="49"/>
  <c r="I147" i="26"/>
  <c r="I159" i="26"/>
  <c r="E28" i="48"/>
  <c r="D20" i="47"/>
  <c r="H141" i="26"/>
  <c r="D18" i="56" s="1"/>
  <c r="I175" i="26"/>
  <c r="I71" i="26"/>
  <c r="I168" i="26"/>
  <c r="D10" i="47"/>
  <c r="H18" i="26"/>
  <c r="E10" i="47"/>
  <c r="E12" i="50"/>
  <c r="I140" i="26"/>
  <c r="I171" i="26"/>
  <c r="I143" i="26"/>
  <c r="E33" i="47"/>
  <c r="D10" i="48"/>
  <c r="E20" i="47"/>
  <c r="I18" i="26"/>
  <c r="I209" i="26"/>
  <c r="D10" i="49"/>
  <c r="E10" i="48"/>
  <c r="E10" i="49" s="1"/>
  <c r="H154" i="26" l="1"/>
  <c r="I154" i="26" s="1"/>
  <c r="C15" i="48"/>
  <c r="H43" i="26"/>
  <c r="H80" i="26"/>
  <c r="I80" i="26"/>
  <c r="C25" i="48"/>
  <c r="G135" i="26"/>
  <c r="C11" i="50"/>
  <c r="H95" i="26"/>
  <c r="D11" i="50" s="1"/>
  <c r="E116" i="26"/>
  <c r="E196" i="26"/>
  <c r="E214" i="26"/>
  <c r="E215" i="26" s="1"/>
  <c r="B19" i="48"/>
  <c r="I46" i="26"/>
  <c r="E8" i="50" s="1"/>
  <c r="F135" i="26"/>
  <c r="H163" i="26"/>
  <c r="C14" i="49"/>
  <c r="C16" i="48"/>
  <c r="C12" i="50"/>
  <c r="I97" i="26"/>
  <c r="I164" i="26"/>
  <c r="D36" i="47"/>
  <c r="B25" i="48"/>
  <c r="H92" i="26"/>
  <c r="I92" i="26" s="1"/>
  <c r="B23" i="48"/>
  <c r="C23" i="48" s="1"/>
  <c r="D23" i="48" s="1"/>
  <c r="E23" i="48" s="1"/>
  <c r="H56" i="26"/>
  <c r="D18" i="47"/>
  <c r="H39" i="26"/>
  <c r="D13" i="47"/>
  <c r="H144" i="26"/>
  <c r="D26" i="49" s="1"/>
  <c r="C22" i="50"/>
  <c r="G172" i="26"/>
  <c r="G178" i="26"/>
  <c r="H178" i="26" s="1"/>
  <c r="G183" i="26"/>
  <c r="H183" i="26" s="1"/>
  <c r="B16" i="49"/>
  <c r="D73" i="26"/>
  <c r="D15" i="47"/>
  <c r="H53" i="26"/>
  <c r="D18" i="49"/>
  <c r="I59" i="26"/>
  <c r="G78" i="26"/>
  <c r="H78" i="26" s="1"/>
  <c r="I78" i="26" s="1"/>
  <c r="I141" i="26"/>
  <c r="E18" i="56" s="1"/>
  <c r="E17" i="47"/>
  <c r="I55" i="26"/>
  <c r="G38" i="26"/>
  <c r="B8" i="48"/>
  <c r="B8" i="49" s="1"/>
  <c r="C35" i="47"/>
  <c r="G163" i="26"/>
  <c r="F113" i="26"/>
  <c r="C6" i="50"/>
  <c r="D6" i="50" s="1"/>
  <c r="E6" i="50" s="1"/>
  <c r="B14" i="46"/>
  <c r="C5" i="45"/>
  <c r="B6" i="46"/>
  <c r="C16" i="47"/>
  <c r="C11" i="47" s="1"/>
  <c r="G54" i="26"/>
  <c r="G109" i="26"/>
  <c r="F108" i="26"/>
  <c r="H167" i="26"/>
  <c r="D22" i="50" s="1"/>
  <c r="H179" i="26"/>
  <c r="I179" i="26"/>
  <c r="G64" i="26"/>
  <c r="C19" i="47"/>
  <c r="C8" i="47"/>
  <c r="G9" i="26"/>
  <c r="F197" i="26"/>
  <c r="E149" i="26"/>
  <c r="H138" i="26"/>
  <c r="D25" i="48" s="1"/>
  <c r="H16" i="26"/>
  <c r="I16" i="26" s="1"/>
  <c r="I198" i="26" s="1"/>
  <c r="G158" i="26"/>
  <c r="F156" i="26"/>
  <c r="C16" i="49"/>
  <c r="D16" i="48"/>
  <c r="I48" i="26"/>
  <c r="E16" i="48" s="1"/>
  <c r="H58" i="26"/>
  <c r="F150" i="26"/>
  <c r="G150" i="26" s="1"/>
  <c r="I160" i="26"/>
  <c r="E21" i="50" s="1"/>
  <c r="I17" i="26"/>
  <c r="C8" i="50"/>
  <c r="C13" i="50" s="1"/>
  <c r="C10" i="56" s="1"/>
  <c r="B13" i="50"/>
  <c r="B10" i="56" s="1"/>
  <c r="I115" i="26"/>
  <c r="H109" i="26"/>
  <c r="F118" i="26"/>
  <c r="G7" i="26"/>
  <c r="F163" i="26"/>
  <c r="H60" i="26"/>
  <c r="C17" i="48"/>
  <c r="H82" i="26"/>
  <c r="I82" i="26" s="1"/>
  <c r="F130" i="26"/>
  <c r="G130" i="26" s="1"/>
  <c r="C24" i="49" s="1"/>
  <c r="C134" i="26"/>
  <c r="H63" i="26"/>
  <c r="D197" i="26"/>
  <c r="B27" i="49"/>
  <c r="G151" i="26"/>
  <c r="C10" i="50"/>
  <c r="H49" i="26"/>
  <c r="I95" i="26"/>
  <c r="E11" i="50" s="1"/>
  <c r="F132" i="26"/>
  <c r="B17" i="50" s="1"/>
  <c r="H153" i="26"/>
  <c r="I153" i="26" s="1"/>
  <c r="E20" i="50" s="1"/>
  <c r="I152" i="26"/>
  <c r="G142" i="26"/>
  <c r="H106" i="26"/>
  <c r="H105" i="26" s="1"/>
  <c r="G105" i="26"/>
  <c r="G185" i="26"/>
  <c r="H185" i="26" s="1"/>
  <c r="B38" i="47"/>
  <c r="I103" i="26"/>
  <c r="I102" i="26" s="1"/>
  <c r="B7" i="48"/>
  <c r="F184" i="26"/>
  <c r="H101" i="26"/>
  <c r="G101" i="26"/>
  <c r="H87" i="26"/>
  <c r="I87" i="26" s="1"/>
  <c r="F83" i="26"/>
  <c r="F79" i="26" s="1"/>
  <c r="B9" i="45"/>
  <c r="G77" i="26"/>
  <c r="H77" i="26" s="1"/>
  <c r="F19" i="26"/>
  <c r="G186" i="26"/>
  <c r="C31" i="49" s="1"/>
  <c r="B11" i="47"/>
  <c r="B22" i="47" s="1"/>
  <c r="B26" i="47" s="1"/>
  <c r="D37" i="26"/>
  <c r="D36" i="26" s="1"/>
  <c r="D8" i="26" s="1"/>
  <c r="F42" i="26"/>
  <c r="F37" i="26" s="1"/>
  <c r="F36" i="26" s="1"/>
  <c r="F155" i="26"/>
  <c r="G21" i="26"/>
  <c r="G19" i="26" s="1"/>
  <c r="H22" i="26"/>
  <c r="G129" i="26"/>
  <c r="F129" i="26"/>
  <c r="B31" i="47" s="1"/>
  <c r="I176" i="26"/>
  <c r="I145" i="26"/>
  <c r="E26" i="48" s="1"/>
  <c r="I106" i="26"/>
  <c r="I105" i="26" s="1"/>
  <c r="B23" i="56"/>
  <c r="H176" i="26"/>
  <c r="I188" i="26"/>
  <c r="E24" i="50" s="1"/>
  <c r="G110" i="26"/>
  <c r="H110" i="26" s="1"/>
  <c r="G100" i="26"/>
  <c r="G83" i="26" s="1"/>
  <c r="G79" i="26" s="1"/>
  <c r="H11" i="26"/>
  <c r="I11" i="26" s="1"/>
  <c r="I182" i="26"/>
  <c r="H182" i="26"/>
  <c r="G187" i="26"/>
  <c r="H151" i="26"/>
  <c r="G162" i="26"/>
  <c r="C21" i="56" s="1"/>
  <c r="D149" i="26"/>
  <c r="D191" i="26" s="1"/>
  <c r="D205" i="26" s="1"/>
  <c r="C21" i="26"/>
  <c r="C19" i="26" s="1"/>
  <c r="C8" i="26" s="1"/>
  <c r="E130" i="26"/>
  <c r="E128" i="26" s="1"/>
  <c r="E191" i="26" s="1"/>
  <c r="E205" i="26" s="1"/>
  <c r="G190" i="26"/>
  <c r="C24" i="56" s="1"/>
  <c r="D10" i="7"/>
  <c r="E10" i="7" s="1"/>
  <c r="F10" i="7" s="1"/>
  <c r="I24" i="26"/>
  <c r="E7" i="50" s="1"/>
  <c r="I157" i="26"/>
  <c r="E35" i="47" s="1"/>
  <c r="H190" i="26"/>
  <c r="D24" i="56" s="1"/>
  <c r="B29" i="48"/>
  <c r="E156" i="26"/>
  <c r="H24" i="26"/>
  <c r="D7" i="50" s="1"/>
  <c r="H157" i="26"/>
  <c r="G132" i="26"/>
  <c r="C17" i="50" s="1"/>
  <c r="C25" i="50" s="1"/>
  <c r="F131" i="26"/>
  <c r="B24" i="48" s="1"/>
  <c r="B32" i="48" s="1"/>
  <c r="H130" i="26"/>
  <c r="I130" i="26" s="1"/>
  <c r="H129" i="26"/>
  <c r="I129" i="26" s="1"/>
  <c r="C23" i="50"/>
  <c r="H174" i="26"/>
  <c r="D23" i="50" s="1"/>
  <c r="B23" i="50"/>
  <c r="B25" i="50" s="1"/>
  <c r="I174" i="26"/>
  <c r="E23" i="50" s="1"/>
  <c r="G170" i="26"/>
  <c r="I173" i="26"/>
  <c r="E30" i="48" s="1"/>
  <c r="H173" i="26"/>
  <c r="D30" i="48" s="1"/>
  <c r="H172" i="26"/>
  <c r="I172" i="26" s="1"/>
  <c r="C30" i="49"/>
  <c r="B30" i="49"/>
  <c r="D20" i="50"/>
  <c r="C20" i="50"/>
  <c r="D27" i="48"/>
  <c r="E27" i="48"/>
  <c r="C27" i="48"/>
  <c r="B8" i="45"/>
  <c r="C9" i="47"/>
  <c r="C31" i="47"/>
  <c r="D31" i="47"/>
  <c r="G14" i="26"/>
  <c r="I133" i="26"/>
  <c r="H21" i="26"/>
  <c r="H19" i="26" s="1"/>
  <c r="I70" i="26"/>
  <c r="D19" i="48"/>
  <c r="C19" i="48"/>
  <c r="D196" i="26" l="1"/>
  <c r="D116" i="26"/>
  <c r="D214" i="26"/>
  <c r="D215" i="26" s="1"/>
  <c r="D38" i="47"/>
  <c r="I83" i="26"/>
  <c r="I79" i="26" s="1"/>
  <c r="C32" i="49"/>
  <c r="C34" i="47"/>
  <c r="F8" i="26"/>
  <c r="F214" i="26" s="1"/>
  <c r="F215" i="26" s="1"/>
  <c r="B27" i="47"/>
  <c r="B11" i="56"/>
  <c r="D9" i="45"/>
  <c r="H76" i="26"/>
  <c r="H73" i="26" s="1"/>
  <c r="H177" i="26"/>
  <c r="D37" i="47"/>
  <c r="C26" i="50"/>
  <c r="B24" i="49"/>
  <c r="B32" i="49" s="1"/>
  <c r="D14" i="48"/>
  <c r="I22" i="26"/>
  <c r="I101" i="26"/>
  <c r="D9" i="50"/>
  <c r="I63" i="26"/>
  <c r="E9" i="50" s="1"/>
  <c r="H135" i="26"/>
  <c r="H158" i="26"/>
  <c r="D28" i="49" s="1"/>
  <c r="C28" i="49"/>
  <c r="H54" i="26"/>
  <c r="H52" i="26" s="1"/>
  <c r="D16" i="47"/>
  <c r="C9" i="48"/>
  <c r="C9" i="49" s="1"/>
  <c r="G156" i="26"/>
  <c r="I53" i="26"/>
  <c r="E15" i="47"/>
  <c r="I162" i="26"/>
  <c r="E21" i="56" s="1"/>
  <c r="C214" i="26"/>
  <c r="C215" i="26" s="1"/>
  <c r="C116" i="26"/>
  <c r="C196" i="26"/>
  <c r="D23" i="56"/>
  <c r="I49" i="26"/>
  <c r="E10" i="50" s="1"/>
  <c r="E13" i="50" s="1"/>
  <c r="E10" i="56" s="1"/>
  <c r="D10" i="50"/>
  <c r="F134" i="26"/>
  <c r="F128" i="26" s="1"/>
  <c r="F191" i="26" s="1"/>
  <c r="F205" i="26" s="1"/>
  <c r="C128" i="26"/>
  <c r="C191" i="26" s="1"/>
  <c r="C205" i="26" s="1"/>
  <c r="H108" i="26"/>
  <c r="F149" i="26"/>
  <c r="B34" i="47"/>
  <c r="B39" i="47" s="1"/>
  <c r="B40" i="47" s="1"/>
  <c r="I138" i="26"/>
  <c r="H142" i="26"/>
  <c r="B20" i="56"/>
  <c r="D16" i="49"/>
  <c r="I58" i="26"/>
  <c r="E16" i="49" s="1"/>
  <c r="H64" i="26"/>
  <c r="D19" i="47"/>
  <c r="I167" i="26"/>
  <c r="E22" i="50" s="1"/>
  <c r="C14" i="46"/>
  <c r="C6" i="46"/>
  <c r="D5" i="45"/>
  <c r="B7" i="49"/>
  <c r="B12" i="49" s="1"/>
  <c r="B12" i="48"/>
  <c r="H162" i="26"/>
  <c r="D21" i="56" s="1"/>
  <c r="B26" i="50"/>
  <c r="I190" i="26"/>
  <c r="E24" i="56" s="1"/>
  <c r="I100" i="26"/>
  <c r="C27" i="49"/>
  <c r="I151" i="26"/>
  <c r="G113" i="26"/>
  <c r="G37" i="26"/>
  <c r="D12" i="47"/>
  <c r="D11" i="47" s="1"/>
  <c r="H38" i="26"/>
  <c r="C8" i="48"/>
  <c r="C8" i="49" s="1"/>
  <c r="D17" i="49"/>
  <c r="E36" i="47"/>
  <c r="I158" i="26"/>
  <c r="D15" i="48"/>
  <c r="I43" i="26"/>
  <c r="E15" i="48" s="1"/>
  <c r="C22" i="47"/>
  <c r="C26" i="47" s="1"/>
  <c r="B15" i="49"/>
  <c r="G42" i="26"/>
  <c r="H100" i="26"/>
  <c r="H83" i="26" s="1"/>
  <c r="H79" i="26" s="1"/>
  <c r="I60" i="26"/>
  <c r="E17" i="48" s="1"/>
  <c r="D17" i="48"/>
  <c r="G155" i="26"/>
  <c r="C20" i="56" s="1"/>
  <c r="E17" i="49"/>
  <c r="E18" i="49"/>
  <c r="I183" i="26"/>
  <c r="C23" i="56"/>
  <c r="I39" i="26"/>
  <c r="E13" i="47"/>
  <c r="B21" i="48"/>
  <c r="B8" i="56" s="1"/>
  <c r="D35" i="47"/>
  <c r="H156" i="26"/>
  <c r="I144" i="26"/>
  <c r="B20" i="48"/>
  <c r="F111" i="26"/>
  <c r="B11" i="45"/>
  <c r="B7" i="45" s="1"/>
  <c r="G76" i="26"/>
  <c r="G73" i="26" s="1"/>
  <c r="I77" i="26"/>
  <c r="C9" i="45"/>
  <c r="G131" i="26"/>
  <c r="C24" i="48" s="1"/>
  <c r="C32" i="48" s="1"/>
  <c r="C31" i="48"/>
  <c r="H187" i="26"/>
  <c r="D31" i="48" s="1"/>
  <c r="E23" i="56"/>
  <c r="D13" i="50"/>
  <c r="D10" i="56" s="1"/>
  <c r="I110" i="26"/>
  <c r="H186" i="26"/>
  <c r="G184" i="26"/>
  <c r="C38" i="47"/>
  <c r="C39" i="47" s="1"/>
  <c r="C40" i="47" s="1"/>
  <c r="I185" i="26"/>
  <c r="H7" i="26"/>
  <c r="G118" i="26"/>
  <c r="G197" i="26"/>
  <c r="H9" i="26"/>
  <c r="D8" i="47"/>
  <c r="C7" i="48"/>
  <c r="G108" i="26"/>
  <c r="I109" i="26"/>
  <c r="H150" i="26"/>
  <c r="G52" i="26"/>
  <c r="I178" i="26"/>
  <c r="G177" i="26"/>
  <c r="C37" i="47"/>
  <c r="I56" i="26"/>
  <c r="E18" i="47"/>
  <c r="H132" i="26"/>
  <c r="D17" i="50" s="1"/>
  <c r="I132" i="26"/>
  <c r="H131" i="26"/>
  <c r="I131" i="26" s="1"/>
  <c r="D25" i="50"/>
  <c r="D26" i="50" s="1"/>
  <c r="E30" i="49"/>
  <c r="I170" i="26"/>
  <c r="H170" i="26"/>
  <c r="D30" i="49"/>
  <c r="D27" i="49"/>
  <c r="E31" i="47"/>
  <c r="E24" i="49"/>
  <c r="E17" i="50"/>
  <c r="E25" i="50" s="1"/>
  <c r="G13" i="26"/>
  <c r="G12" i="26" s="1"/>
  <c r="H14" i="26"/>
  <c r="C8" i="45"/>
  <c r="D9" i="47"/>
  <c r="D22" i="47" s="1"/>
  <c r="D26" i="47" s="1"/>
  <c r="B6" i="45"/>
  <c r="D24" i="49"/>
  <c r="F196" i="26"/>
  <c r="F116" i="26"/>
  <c r="E19" i="48"/>
  <c r="D7" i="48" l="1"/>
  <c r="E8" i="47"/>
  <c r="I9" i="26"/>
  <c r="D31" i="49"/>
  <c r="I186" i="26"/>
  <c r="E31" i="49" s="1"/>
  <c r="E14" i="48"/>
  <c r="I21" i="26"/>
  <c r="I19" i="26" s="1"/>
  <c r="I76" i="26"/>
  <c r="I73" i="26" s="1"/>
  <c r="E9" i="45"/>
  <c r="C11" i="56"/>
  <c r="C27" i="47"/>
  <c r="H37" i="26"/>
  <c r="H36" i="26" s="1"/>
  <c r="H113" i="26"/>
  <c r="D8" i="48"/>
  <c r="D8" i="49" s="1"/>
  <c r="I38" i="26"/>
  <c r="E12" i="47"/>
  <c r="G8" i="26"/>
  <c r="G116" i="26" s="1"/>
  <c r="C7" i="56" s="1"/>
  <c r="D34" i="47"/>
  <c r="D39" i="47" s="1"/>
  <c r="H149" i="26"/>
  <c r="I7" i="26"/>
  <c r="I118" i="26" s="1"/>
  <c r="H118" i="26"/>
  <c r="I135" i="26"/>
  <c r="E25" i="48"/>
  <c r="H184" i="26"/>
  <c r="E26" i="50"/>
  <c r="I177" i="26"/>
  <c r="E37" i="47"/>
  <c r="G134" i="26"/>
  <c r="C17" i="56" s="1"/>
  <c r="C25" i="56" s="1"/>
  <c r="B17" i="56"/>
  <c r="B25" i="56" s="1"/>
  <c r="I54" i="26"/>
  <c r="E16" i="47"/>
  <c r="B14" i="45"/>
  <c r="I108" i="26"/>
  <c r="E38" i="47"/>
  <c r="E39" i="47" s="1"/>
  <c r="G36" i="26"/>
  <c r="I64" i="26"/>
  <c r="E19" i="47"/>
  <c r="I150" i="26"/>
  <c r="E34" i="47" s="1"/>
  <c r="I52" i="26"/>
  <c r="E9" i="48"/>
  <c r="E9" i="49" s="1"/>
  <c r="B33" i="48"/>
  <c r="E28" i="49"/>
  <c r="I156" i="26"/>
  <c r="G111" i="26"/>
  <c r="C11" i="45"/>
  <c r="C20" i="48"/>
  <c r="D9" i="48"/>
  <c r="D9" i="49" s="1"/>
  <c r="C7" i="45"/>
  <c r="C12" i="48"/>
  <c r="C21" i="48" s="1"/>
  <c r="C8" i="56" s="1"/>
  <c r="C7" i="49"/>
  <c r="C12" i="49" s="1"/>
  <c r="I163" i="26"/>
  <c r="B20" i="49"/>
  <c r="B9" i="56" s="1"/>
  <c r="G149" i="26"/>
  <c r="E26" i="49"/>
  <c r="I142" i="26"/>
  <c r="H42" i="26"/>
  <c r="C15" i="49"/>
  <c r="E5" i="45"/>
  <c r="D6" i="46"/>
  <c r="D14" i="46"/>
  <c r="H155" i="26"/>
  <c r="I187" i="26"/>
  <c r="E31" i="48" s="1"/>
  <c r="D32" i="49"/>
  <c r="E27" i="49"/>
  <c r="B16" i="46"/>
  <c r="D24" i="48"/>
  <c r="D32" i="48" s="1"/>
  <c r="E24" i="48"/>
  <c r="G196" i="26"/>
  <c r="C6" i="45"/>
  <c r="C14" i="45" s="1"/>
  <c r="C16" i="46" s="1"/>
  <c r="G214" i="26"/>
  <c r="G215" i="26" s="1"/>
  <c r="H13" i="26"/>
  <c r="H12" i="26" s="1"/>
  <c r="E9" i="47"/>
  <c r="D8" i="45"/>
  <c r="I14" i="26"/>
  <c r="D40" i="47"/>
  <c r="D11" i="56"/>
  <c r="D27" i="47"/>
  <c r="B7" i="56"/>
  <c r="B13" i="56" s="1"/>
  <c r="B26" i="56" s="1"/>
  <c r="C9" i="46"/>
  <c r="C8" i="46" l="1"/>
  <c r="B7" i="46"/>
  <c r="B17" i="46"/>
  <c r="B9" i="46"/>
  <c r="B8" i="46"/>
  <c r="B15" i="46"/>
  <c r="E7" i="48"/>
  <c r="I197" i="26"/>
  <c r="E11" i="47"/>
  <c r="D20" i="56"/>
  <c r="I155" i="26"/>
  <c r="E20" i="56" s="1"/>
  <c r="I149" i="26"/>
  <c r="I113" i="26"/>
  <c r="E8" i="48"/>
  <c r="E8" i="49" s="1"/>
  <c r="G128" i="26"/>
  <c r="G191" i="26" s="1"/>
  <c r="G205" i="26" s="1"/>
  <c r="D7" i="49"/>
  <c r="D12" i="49" s="1"/>
  <c r="D12" i="48"/>
  <c r="C15" i="46"/>
  <c r="D15" i="49"/>
  <c r="I42" i="26"/>
  <c r="E15" i="49" s="1"/>
  <c r="I184" i="26"/>
  <c r="E32" i="48"/>
  <c r="E22" i="47"/>
  <c r="E26" i="47" s="1"/>
  <c r="E32" i="49"/>
  <c r="B33" i="49"/>
  <c r="C7" i="46"/>
  <c r="H8" i="26"/>
  <c r="H116" i="26" s="1"/>
  <c r="C17" i="46"/>
  <c r="E6" i="46"/>
  <c r="E14" i="46"/>
  <c r="C20" i="49"/>
  <c r="H134" i="26"/>
  <c r="D11" i="45"/>
  <c r="D7" i="45" s="1"/>
  <c r="D20" i="48"/>
  <c r="H111" i="26"/>
  <c r="C33" i="48"/>
  <c r="E27" i="47"/>
  <c r="E11" i="56"/>
  <c r="E40" i="47"/>
  <c r="E8" i="45"/>
  <c r="I13" i="26"/>
  <c r="I12" i="26" s="1"/>
  <c r="E7" i="49" l="1"/>
  <c r="E12" i="49" s="1"/>
  <c r="E20" i="49" s="1"/>
  <c r="E9" i="56" s="1"/>
  <c r="E12" i="48"/>
  <c r="E21" i="48" s="1"/>
  <c r="E8" i="56" s="1"/>
  <c r="D6" i="45"/>
  <c r="D14" i="45" s="1"/>
  <c r="D15" i="46" s="1"/>
  <c r="E33" i="49"/>
  <c r="I134" i="26"/>
  <c r="D17" i="56"/>
  <c r="D25" i="56" s="1"/>
  <c r="H128" i="26"/>
  <c r="H191" i="26" s="1"/>
  <c r="E20" i="48"/>
  <c r="E11" i="45"/>
  <c r="E7" i="45" s="1"/>
  <c r="I111" i="26"/>
  <c r="D21" i="48"/>
  <c r="D20" i="49"/>
  <c r="E33" i="48"/>
  <c r="I37" i="26"/>
  <c r="I36" i="26" s="1"/>
  <c r="I8" i="26" s="1"/>
  <c r="C9" i="56"/>
  <c r="C13" i="56" s="1"/>
  <c r="C26" i="56" s="1"/>
  <c r="C33" i="49"/>
  <c r="D7" i="56"/>
  <c r="D7" i="46"/>
  <c r="D16" i="46"/>
  <c r="D9" i="46"/>
  <c r="D17" i="46"/>
  <c r="D8" i="46"/>
  <c r="E6" i="45" l="1"/>
  <c r="E14" i="45" s="1"/>
  <c r="I196" i="26"/>
  <c r="I116" i="26"/>
  <c r="I214" i="26"/>
  <c r="I215" i="26" s="1"/>
  <c r="E17" i="56"/>
  <c r="E25" i="56" s="1"/>
  <c r="I128" i="26"/>
  <c r="I191" i="26" s="1"/>
  <c r="I205" i="26" s="1"/>
  <c r="D8" i="56"/>
  <c r="D13" i="56" s="1"/>
  <c r="D26" i="56" s="1"/>
  <c r="D33" i="48"/>
  <c r="D9" i="56"/>
  <c r="D33" i="49"/>
  <c r="E9" i="46"/>
  <c r="E8" i="46"/>
  <c r="E17" i="46"/>
  <c r="E16" i="46"/>
  <c r="E15" i="46"/>
  <c r="E7" i="46"/>
  <c r="E7" i="56"/>
  <c r="E13" i="56" s="1"/>
  <c r="E26" i="56" l="1"/>
</calcChain>
</file>

<file path=xl/sharedStrings.xml><?xml version="1.0" encoding="utf-8"?>
<sst xmlns="http://schemas.openxmlformats.org/spreadsheetml/2006/main" count="464" uniqueCount="413">
  <si>
    <t>CONTAS</t>
  </si>
  <si>
    <t>FISCAIS</t>
  </si>
  <si>
    <t xml:space="preserve">RESULTADOS </t>
  </si>
  <si>
    <t>CONSOLIDADAS ANUAIS</t>
  </si>
  <si>
    <t>REALIZADO</t>
  </si>
  <si>
    <t>PROJETADO</t>
  </si>
  <si>
    <t>1. RECEITA CORRENTE LÍQUIDA</t>
  </si>
  <si>
    <t>2. RECEITAS DE TRIBUTOS</t>
  </si>
  <si>
    <t>3. RECEITAS FINANCEIRAS</t>
  </si>
  <si>
    <t>4. RENÚNCIA FISCAL</t>
  </si>
  <si>
    <t>5. VALOR LÍQUIDO DO FUNDEF</t>
  </si>
  <si>
    <t>6. TRANSFERÊNCIAS DA UNIÃO</t>
  </si>
  <si>
    <t>7. TRANSFERÊNCIAS DOS ESTADOS</t>
  </si>
  <si>
    <t>8. OPERAÇÕES DE CRÉDITO</t>
  </si>
  <si>
    <t>9. AROS</t>
  </si>
  <si>
    <t>10. PESSOAL ATIVO</t>
  </si>
  <si>
    <t>11. PESSOAL INATIVO</t>
  </si>
  <si>
    <t>12. PENSIONISTAS</t>
  </si>
  <si>
    <t>13. SERVIÇOS DE TERCEIROS</t>
  </si>
  <si>
    <t>14. OUTROS CUSTEIOS CORRENTES</t>
  </si>
  <si>
    <t>16. ENCARGOS DA DÍVIDA</t>
  </si>
  <si>
    <t>17. AMORTIZAÇÕES DA DÍVIDA</t>
  </si>
  <si>
    <t>18. DESPESAS FINANCEIRAS</t>
  </si>
  <si>
    <t>19. RESULTADO PRIMÁRIO</t>
  </si>
  <si>
    <t>20. RESULTADO NOMINAL</t>
  </si>
  <si>
    <t>15. INVESTIMENTOS</t>
  </si>
  <si>
    <t>Operação de Crédito Externo</t>
  </si>
  <si>
    <t>4.6.00.00.00.00.00</t>
  </si>
  <si>
    <t>Valores em R$ 1,00</t>
  </si>
  <si>
    <t>ESPECIFICAÇÃO</t>
  </si>
  <si>
    <t xml:space="preserve">VARIAÇÃODO PIB </t>
  </si>
  <si>
    <t>CRESCIMENTO VEGETATIVO DA FOLHA SALARIAL</t>
  </si>
  <si>
    <t>ARRECADADA</t>
  </si>
  <si>
    <t>1.0.0.0.00.0.0.00.00.00</t>
  </si>
  <si>
    <t>Receitas Correntes</t>
  </si>
  <si>
    <t>1.1.1.0.00.0.0.00.00.00</t>
  </si>
  <si>
    <t>1.1.2.0.00.0.0.00.00.00</t>
  </si>
  <si>
    <t>Taxas</t>
  </si>
  <si>
    <t>1.1.3.0.00.0.0.00.00.00</t>
  </si>
  <si>
    <t>Contribuição de Melhoria</t>
  </si>
  <si>
    <t>1.2.0.0.00.0.0.00.00.00</t>
  </si>
  <si>
    <t>Contribuições</t>
  </si>
  <si>
    <t>1.2.1.0.00.0.0.00.00.00</t>
  </si>
  <si>
    <t>Contribuições Sociais</t>
  </si>
  <si>
    <t>Contribuição para os Fundos de Assistência Médica</t>
  </si>
  <si>
    <t>1.2.1.0.99.0.0.00.00.00</t>
  </si>
  <si>
    <t>Outras Contribuições Sociais</t>
  </si>
  <si>
    <t>1.2.2.0.00.0.0.00.00.00</t>
  </si>
  <si>
    <t>Contribuições Econômicas</t>
  </si>
  <si>
    <t>1.2.4.0.00.0.0.00.00.00</t>
  </si>
  <si>
    <t>Contribuição para o Custeio do Serviço de Iluminação Pública</t>
  </si>
  <si>
    <t>1.3.0.0.00.0.0.00.00.00</t>
  </si>
  <si>
    <t>Receita Patrimonial</t>
  </si>
  <si>
    <t>1.3.1.0.00.0.0.00.00.00</t>
  </si>
  <si>
    <t>1.3.2.0.00.0.0.00.00.00</t>
  </si>
  <si>
    <t>Valores Mobiliários</t>
  </si>
  <si>
    <t>Remuneração dos Recursos do Regime Próprio de Previdência Social - RPPS</t>
  </si>
  <si>
    <t>1.3.2.1.00.5.0.00.00.00</t>
  </si>
  <si>
    <t>Juros de Títulos de Renda</t>
  </si>
  <si>
    <t>1.3.2.9.00.0.0.00.00.00</t>
  </si>
  <si>
    <t>Outros Valores Mobiliários</t>
  </si>
  <si>
    <t>1.3.3.0.00.0.0.00.00.00</t>
  </si>
  <si>
    <t>Delegação de Serviços Públicos Mediante Concessão, Permissão, Autorização ou Licença</t>
  </si>
  <si>
    <t>1.3.6.0.00.0.0.00.00.00</t>
  </si>
  <si>
    <t>Cessão de Direitos</t>
  </si>
  <si>
    <t>1.3.9.0.00.0.0.00.00.00</t>
  </si>
  <si>
    <t>Demais Receitas Patrimoniais</t>
  </si>
  <si>
    <t>1.4.0.0.00.0.0.00.00.00</t>
  </si>
  <si>
    <t>Receita Agropecuária</t>
  </si>
  <si>
    <t>Receita de Serviços</t>
  </si>
  <si>
    <t>1.7.0.0.00.0.0.00.00.00</t>
  </si>
  <si>
    <t>Transferências Correntes</t>
  </si>
  <si>
    <t>1.7.1.0.00.0.0.00.00.00</t>
  </si>
  <si>
    <t>Transferências da União e de suas Entidades</t>
  </si>
  <si>
    <t>Cota-Parte do Imposto Sobre a Propriedade Territorial Rural</t>
  </si>
  <si>
    <t>Transferência da Compensação Financeira pela Exploração de Recursos Naturais</t>
  </si>
  <si>
    <t>Transferência de Recursos do Sistema Único de Saúde – SUS – Repasses Fundo a Fundo</t>
  </si>
  <si>
    <t>1.7.2.0.00.0.0.00.00.00</t>
  </si>
  <si>
    <t>Transferências dos Estados e do Distrito Federal e de suas Entidades</t>
  </si>
  <si>
    <t>Cota-Parte do ICMS</t>
  </si>
  <si>
    <t>1.5.0.0.00.0.0.00.00.00</t>
  </si>
  <si>
    <t>Receita Industrial</t>
  </si>
  <si>
    <t>Cota-Parte do IPVA</t>
  </si>
  <si>
    <t>Cota-Parte do IPI - Municípios</t>
  </si>
  <si>
    <t>Cota-Parte da Contribuição de Intervenção no Domínio Econômico</t>
  </si>
  <si>
    <t>Transferência de Recursos do Estado para Programas de Saúde – Repasse Fundo a Fundo</t>
  </si>
  <si>
    <t>1.7.3.0.00.0.0.00.00.00</t>
  </si>
  <si>
    <t>Transferências dos Municípios e de suas Entidades</t>
  </si>
  <si>
    <t>1.7.4.0.00.0.0.00.00.00</t>
  </si>
  <si>
    <t>Transferências de Instituições Privadas</t>
  </si>
  <si>
    <t>Transferências de Outras Instituições Públicas</t>
  </si>
  <si>
    <t>1.7.6.0.00.0.0.00.00.00</t>
  </si>
  <si>
    <t>Transferências do Exterior</t>
  </si>
  <si>
    <t>Transferências de Pessoas Físicas</t>
  </si>
  <si>
    <t>1.9.0.0.00.0.0.00.00.00</t>
  </si>
  <si>
    <t>Outras Receitas Correntes</t>
  </si>
  <si>
    <t>1.9.1.0.00.0.0.00.00.00</t>
  </si>
  <si>
    <t>Multas Administrativas, Contratuais e Judiciais</t>
  </si>
  <si>
    <t>1.9.2.0.00.0.0.00.00.00</t>
  </si>
  <si>
    <t>Indenizações, Restituições e Ressarcimentos</t>
  </si>
  <si>
    <t>1.9.9.0.00.0.0.00.00.00</t>
  </si>
  <si>
    <t>Demais Receitas Correntes</t>
  </si>
  <si>
    <t>1.9.9.0.03.0.0.00.00.00</t>
  </si>
  <si>
    <t>Compensações Financeiras entre o Regime Geral e os Regimes Próprios de Previdência dos Servidores</t>
  </si>
  <si>
    <t>1.9.9.0.99.0.0.00.00.00</t>
  </si>
  <si>
    <t>2.0.0.0.00.0.0.00.00.00</t>
  </si>
  <si>
    <t>Receitas de Capital</t>
  </si>
  <si>
    <t>2.1.0.0.00.0.0.00.00.00</t>
  </si>
  <si>
    <t>Operações de Crédito</t>
  </si>
  <si>
    <t>2.2.0.0.00.0.0.00.00.00</t>
  </si>
  <si>
    <t>Alienação de Bens</t>
  </si>
  <si>
    <t>2.3.0.0.00.0.0.00.00.00</t>
  </si>
  <si>
    <t>Amortização de Empréstimos</t>
  </si>
  <si>
    <t>2.4.0.0.00.0.0.00.00.00</t>
  </si>
  <si>
    <t>Transferências de Capital</t>
  </si>
  <si>
    <t>2.4.3.0.00.0.0.00.00.00</t>
  </si>
  <si>
    <t>2.4.4.0.00.0.0.00.00.00</t>
  </si>
  <si>
    <t>2.4.5.0.00.0.0.00.00.00</t>
  </si>
  <si>
    <t>2.4.6.0.00.0.0.00.00.00</t>
  </si>
  <si>
    <t>2.4.7.0.00.0.0.00.00.00</t>
  </si>
  <si>
    <t>2.9.0.0.00.0.0.00.00.00</t>
  </si>
  <si>
    <t>Outras Receitas de Capital</t>
  </si>
  <si>
    <t>7.0.0.0.00.0.0.00.00.00</t>
  </si>
  <si>
    <t>8.0.0.0.00.0.0.00.00.00</t>
  </si>
  <si>
    <t>Receitas de Capital Intraorçamentárias</t>
  </si>
  <si>
    <t>Deduções para o FUNDEB</t>
  </si>
  <si>
    <t>Contribuição para o Regime Próprio de Previdência Social - RPPS (dos servidores)</t>
  </si>
  <si>
    <t>II - DEDUÇÕES</t>
  </si>
  <si>
    <t>Contribuições Previdenciárias do Regime Próprio</t>
  </si>
  <si>
    <t>Compensação Financeira entre Regimes</t>
  </si>
  <si>
    <t>I - RECEITAS CORRENTES (Exceto Intraorçamentárias)</t>
  </si>
  <si>
    <t xml:space="preserve">Deduções da Receita Corrente </t>
  </si>
  <si>
    <t>Rendimentos de Aplicações de Rec.Previdenciários</t>
  </si>
  <si>
    <t>Limite Máximo Legal   -  54 % da  RCL (alínea “b” do inciso III do artigo 20 da LRF)</t>
  </si>
  <si>
    <t>Limite Prudencial - 51,30 % da RCL (parágrafo único do artigo 22 daLRF)</t>
  </si>
  <si>
    <t>Limite de Alerta - 48,60 % da RCL (inciso II do § 1º do artigo 59 da LRF)</t>
  </si>
  <si>
    <t>PODER EXECUTIVO</t>
  </si>
  <si>
    <t xml:space="preserve">PODER LEGISLATIVO </t>
  </si>
  <si>
    <t>Limite Máximo Legal   -  6 % da  RCL (alínea “b” do inciso III do artigo 20 da LRF)</t>
  </si>
  <si>
    <t>Limite Prudencial - 5,70 % da RCL (parágrafo único do artigo 22 daLRF)</t>
  </si>
  <si>
    <t>Limite de Alerta -  5,40 % da RCL (inciso II do § 1º do artigo 59 da LRF)</t>
  </si>
  <si>
    <t>Indicador</t>
  </si>
  <si>
    <t>1.6.0.0.00.0.0.00.00</t>
  </si>
  <si>
    <t>Outras Receitas (demais receitas diversas)</t>
  </si>
  <si>
    <t>Receitas Correntes Intraorçamentárias</t>
  </si>
  <si>
    <t/>
  </si>
  <si>
    <t>1.7.1.8.99.0.0.00.00.00</t>
  </si>
  <si>
    <t>Outras Transferências da União</t>
  </si>
  <si>
    <t>CRESCIMENTO VEGETATIVO DE OUTRAS DESP DE CUSTEIO</t>
  </si>
  <si>
    <t>PERCENTUAL DE AUMENTO SALARIAL - EXECUTVO (ACIMA DO IPCA)</t>
  </si>
  <si>
    <t>PERCENTUAL DE AUMENTO SALARIAL - LEGISLATIVO (ACIMA DO IPCA)</t>
  </si>
  <si>
    <t xml:space="preserve">Exploração do Patrimônio Imobiliário </t>
  </si>
  <si>
    <t>EXPECTATIVA DE CRESCIMENTO MÉDIO DA ARRECADAÇÃO TRIBUTÁRIA PRÓPRIA</t>
  </si>
  <si>
    <r>
      <t xml:space="preserve">Remuneração de Depósitos de </t>
    </r>
    <r>
      <rPr>
        <b/>
        <sz val="10"/>
        <rFont val="Arial"/>
        <family val="2"/>
      </rPr>
      <t>Outros</t>
    </r>
    <r>
      <rPr>
        <sz val="10"/>
        <rFont val="Arial"/>
        <family val="2"/>
      </rPr>
      <t xml:space="preserve"> Recursos Vinculados</t>
    </r>
  </si>
  <si>
    <r>
      <t xml:space="preserve">Transferências de Convênios da União e de Suas Entidades - </t>
    </r>
    <r>
      <rPr>
        <b/>
        <sz val="10"/>
        <rFont val="Arial"/>
        <family val="2"/>
      </rPr>
      <t>ASS.SOCIAL</t>
    </r>
  </si>
  <si>
    <r>
      <t xml:space="preserve">Transferências de Convênios da União e de Suas Entidades - </t>
    </r>
    <r>
      <rPr>
        <b/>
        <sz val="10"/>
        <rFont val="Arial"/>
        <family val="2"/>
      </rPr>
      <t>EDUCAÇÃO</t>
    </r>
  </si>
  <si>
    <r>
      <t xml:space="preserve">Transferências de Convênios da União e de Suas Entidades - </t>
    </r>
    <r>
      <rPr>
        <b/>
        <sz val="10"/>
        <rFont val="Arial"/>
        <family val="2"/>
      </rPr>
      <t>OUTROS</t>
    </r>
  </si>
  <si>
    <r>
      <t xml:space="preserve">Transferências de Convênios da União e de Suas Entidades - </t>
    </r>
    <r>
      <rPr>
        <b/>
        <sz val="10"/>
        <rFont val="Arial"/>
        <family val="2"/>
      </rPr>
      <t>SAÚDE/SUS</t>
    </r>
  </si>
  <si>
    <r>
      <t xml:space="preserve">Transferência de Convênios dos Estados e do DF - </t>
    </r>
    <r>
      <rPr>
        <b/>
        <sz val="10"/>
        <rFont val="Arial"/>
        <family val="2"/>
      </rPr>
      <t>SAÚDE/SUS</t>
    </r>
  </si>
  <si>
    <r>
      <t xml:space="preserve">Transferência de Convênios dos Estados e do DF - </t>
    </r>
    <r>
      <rPr>
        <b/>
        <sz val="10"/>
        <rFont val="Arial"/>
        <family val="2"/>
      </rPr>
      <t>EDUCAÇÃO</t>
    </r>
  </si>
  <si>
    <r>
      <t xml:space="preserve">Outras Transf.de Convênios dos Estados e do DF - </t>
    </r>
    <r>
      <rPr>
        <b/>
        <sz val="10"/>
        <rFont val="Arial"/>
        <family val="2"/>
      </rPr>
      <t>ASS.SOCIAL</t>
    </r>
  </si>
  <si>
    <r>
      <t xml:space="preserve">Outras Transf.de Convênios dos Estados e do DF - </t>
    </r>
    <r>
      <rPr>
        <b/>
        <sz val="10"/>
        <rFont val="Arial"/>
        <family val="2"/>
      </rPr>
      <t>OUTROS</t>
    </r>
  </si>
  <si>
    <t>Transf. De Convênios da União para SUS (Saúde)</t>
  </si>
  <si>
    <t>Transf.de Convênio da União p/ Programas de Educação</t>
  </si>
  <si>
    <t>Demais Transf. De Convênios da União</t>
  </si>
  <si>
    <t>Outras Transf.de Convênio do  Estado</t>
  </si>
  <si>
    <t>3.1.00.00.00.00.00</t>
  </si>
  <si>
    <t>Pessoal e Encargos Sociais</t>
  </si>
  <si>
    <t>Pessoal e Encargos Sociais -  Poder Legislativo</t>
  </si>
  <si>
    <t>Pessoal e Encargos Sociais - Assist. Social</t>
  </si>
  <si>
    <t>Pessoal e Encargos Sociais - Do RPPS</t>
  </si>
  <si>
    <t>Pessoal e Encargos Sociais - Demais Áreas</t>
  </si>
  <si>
    <t>3.2.00.00.00.00.00</t>
  </si>
  <si>
    <t>Juros e Encargos da Dívida</t>
  </si>
  <si>
    <t>Juros e Encargos da Dívida - Poder Legislativo</t>
  </si>
  <si>
    <t>Juros e Encargos da Dívida - Saúde</t>
  </si>
  <si>
    <t>Juros e Encargos da Dívida - Educação</t>
  </si>
  <si>
    <t>Juros e Encargos da Dívida - Assist. Social</t>
  </si>
  <si>
    <t>Juros e Encargos da Dívida - Do RPPS</t>
  </si>
  <si>
    <t>Juros e Encargos da Dívida - Demais Áreas</t>
  </si>
  <si>
    <t>3.3.XX.47.00.00.00</t>
  </si>
  <si>
    <t>Obrigações Tributárias e Contributivas</t>
  </si>
  <si>
    <t>3.3.XX.08.00.00.00</t>
  </si>
  <si>
    <t>Outros Benef.Assistênciais - Poder Legislativo</t>
  </si>
  <si>
    <t>Outros Benef.Assistênciais - Saúde</t>
  </si>
  <si>
    <t>Outros Benef.Assistênciais - Educação</t>
  </si>
  <si>
    <t>Outros Benef.Assistênciais - Do RPPS</t>
  </si>
  <si>
    <t>Outros Benef.Assistênciais - Assist. Social</t>
  </si>
  <si>
    <t>Outros Benef.Assistênciais - Demais Áreas</t>
  </si>
  <si>
    <t>3.3.XX.46.00.00.00</t>
  </si>
  <si>
    <t>Auxílio - Alimentação</t>
  </si>
  <si>
    <t>Auxílio - Alimentação - Poder Legislativo</t>
  </si>
  <si>
    <t>Auxílio - Alimentação - Saúde</t>
  </si>
  <si>
    <t>Auxílio - Alimentação - Educação</t>
  </si>
  <si>
    <t>Auxílio - Alimentação - Assist. Social</t>
  </si>
  <si>
    <t>Auxílio - Alimentação - Do Rpps</t>
  </si>
  <si>
    <t>Auxílio - Alimentação - Demais Áreas</t>
  </si>
  <si>
    <t>Pessoal e Encargos Sociais - Saúde</t>
  </si>
  <si>
    <t>Pessoal e Encargos Sociais - Educação</t>
  </si>
  <si>
    <t>Obrigações Tributárias e Contributivas - Poder Legislativo</t>
  </si>
  <si>
    <t>Obrigações Tributárias e Contributivas - Saúde</t>
  </si>
  <si>
    <t>Obrigações Tributárias e Contributivas - Educação</t>
  </si>
  <si>
    <t>Obrigações Tributárias e Contributivas - do RPPS</t>
  </si>
  <si>
    <t>Obrigações Tributárias e Contributivas -Demais Áreas</t>
  </si>
  <si>
    <t>3.3.XX.91.00.00.00</t>
  </si>
  <si>
    <t>Sentenças Judiciais  (Exceto Precatórios de Pessoal)</t>
  </si>
  <si>
    <t>Sentenças Judiciais - Poder Legislativo</t>
  </si>
  <si>
    <t>Sentenças Judiciais - Saúde</t>
  </si>
  <si>
    <t>Sentenças Judiciais - Educação</t>
  </si>
  <si>
    <t>Obrigações Tributárias e Contributivas - Assist. Social</t>
  </si>
  <si>
    <t>Sentenças Judiciais - Assist. Social</t>
  </si>
  <si>
    <t>Sentenças Judiciais - Do RPPS</t>
  </si>
  <si>
    <t>Sentenças Judiciais - Demais Áreas</t>
  </si>
  <si>
    <t>3.3.XX.93.00.00.00</t>
  </si>
  <si>
    <t>Indenizações e Restituições</t>
  </si>
  <si>
    <t>Indenizações e Restituições - Poder Legislativo</t>
  </si>
  <si>
    <t>Indenizações e Restituições - Saúde</t>
  </si>
  <si>
    <t>Indenizações e Restituições - Educação</t>
  </si>
  <si>
    <t>Indenizações e Restituições - Assist. Social</t>
  </si>
  <si>
    <t>Indenizações e Restituições - Do RPPS</t>
  </si>
  <si>
    <t>Indenizações e Restituições - Demais Áreas</t>
  </si>
  <si>
    <t>4.4.XX.93.00.00.00</t>
  </si>
  <si>
    <t>Amortização da Dívida</t>
  </si>
  <si>
    <t>Amortização da Dívida - Poder Legislativo</t>
  </si>
  <si>
    <t>Amortização da Dívida - Saúde</t>
  </si>
  <si>
    <t>Amortização da Dívida - Educação</t>
  </si>
  <si>
    <t>Amortização da Dívida - Assist. Social</t>
  </si>
  <si>
    <t>Amortização da Dívida - Do RPPS</t>
  </si>
  <si>
    <t>Amortização da Dívida - Demais Áreas</t>
  </si>
  <si>
    <t>TOTAL DAS DESPESAS  FIXAS /  OBRIGATÓRIAS</t>
  </si>
  <si>
    <t>Outros Benefícios Assistênciais do Servidor e do Militar</t>
  </si>
  <si>
    <t>RECEITA EFETIVAMENTE ARRECADADA ANO ANTERIOR</t>
  </si>
  <si>
    <t xml:space="preserve">BASE DE CÁLCULO PARA O ANO DA DESPESA </t>
  </si>
  <si>
    <t>FPM (Art.159, CF/1998)</t>
  </si>
  <si>
    <t>ITR (Art.158, CF/1998)</t>
  </si>
  <si>
    <t>ICMS (Art.158, CF/1998)</t>
  </si>
  <si>
    <t>IPVA (Art.158, CF/1998)</t>
  </si>
  <si>
    <t>IPI-EX (Art.159, CF/1998)</t>
  </si>
  <si>
    <t>Deduções das Receitas Correntes -  Exceto para o Fundeb (F)</t>
  </si>
  <si>
    <t xml:space="preserve"> </t>
  </si>
  <si>
    <t>Limite Percentual Estabelecido pelo Art. 29-A da Constituição da República</t>
  </si>
  <si>
    <t>Limite da despesa para o ano</t>
  </si>
  <si>
    <t xml:space="preserve">Receita de Impostos, Taxas e Contribuição de Melhorias </t>
  </si>
  <si>
    <t>Contribuições dos Servidores para o Regime Próprio de Previdência</t>
  </si>
  <si>
    <t>Contribuições P/  Custeio da Iluminação Pública</t>
  </si>
  <si>
    <t xml:space="preserve">Transferências Constitucionais e Legais </t>
  </si>
  <si>
    <t>Cota Parte da  CIDE / Combustíveis</t>
  </si>
  <si>
    <t>Estimativas de Gastos do Poder Legislativo</t>
  </si>
  <si>
    <t xml:space="preserve"> Valor passível de alocação para demais diretrizes, objetivos e metas do Legislativo</t>
  </si>
  <si>
    <t xml:space="preserve">TOTAL DA RECEITA ARRECADADA NO ANO ANTERIOR  - RAEA </t>
  </si>
  <si>
    <t>Legislativo: Folha de Pagamento = 70% do Limite Total</t>
  </si>
  <si>
    <t>Subtotal - Gastos   Fixos /  Obrigatórios</t>
  </si>
  <si>
    <t>DISCRIMINAÇÃO</t>
  </si>
  <si>
    <t>RECEITA</t>
  </si>
  <si>
    <t>Total de Recursos Estimados para Aplicação em Educação</t>
  </si>
  <si>
    <t>Estimativas de Gastos Fixos /  Obrigatórios</t>
  </si>
  <si>
    <t xml:space="preserve"> Valor passível de alocação para demais diretrizes, objetivos e metas da Educação</t>
  </si>
  <si>
    <t>IMPOSTOS PRÓPRIOS</t>
  </si>
  <si>
    <t xml:space="preserve">TRANSFERÊNCIAS CONSTITUCIONAIS DA UNIÃO </t>
  </si>
  <si>
    <t xml:space="preserve">TRANSFERÊNCIAS CONSTITUCIONAIS DO ESTADO </t>
  </si>
  <si>
    <t>Informação Complementar</t>
  </si>
  <si>
    <t>Recursos Próprios Aportados para o Fundo Municipal de Assistência Social</t>
  </si>
  <si>
    <t>VALOR MÍNIMO A APLICAR  PARA FINS DO ART. 198 DA CONSTITUIÇÃO (15 %)</t>
  </si>
  <si>
    <t>Total de Recursos Estimados para Aplicação em Saúde</t>
  </si>
  <si>
    <t xml:space="preserve"> Valor passível de alocação para demais diretrizes, objetivos e metas da Saúde</t>
  </si>
  <si>
    <t>Rendimentos de Aplicações Financeiras  (MDE, Fundeb e demais vinculações)</t>
  </si>
  <si>
    <t>Rendimentos de Aplicações Financeiras  (Recursos ASPS + Fonte Federal e Estadual)</t>
  </si>
  <si>
    <t>Rendimentos de Aplicações Financeiras  (Recursos Próprios +  Fonte Federal e Estadual)</t>
  </si>
  <si>
    <t>Transferências de Recursos do SUAS - Fundo Nacional de Ass.Social</t>
  </si>
  <si>
    <t>Transferências de Recursos do SUAS - Fundo Estadual de Ass.Social</t>
  </si>
  <si>
    <t>Total de Recursos Estimados para Aplicação em Assistência Social</t>
  </si>
  <si>
    <t xml:space="preserve"> Valor passível de alocação para demais diretrizes, objetivos e metas da Assist.  Social</t>
  </si>
  <si>
    <t>Receitas totais estimadas</t>
  </si>
  <si>
    <t>(-)  Valores vinculados às Diretrizes, Objetivos e Metas da EDUCAÇÃO</t>
  </si>
  <si>
    <t>(-)  Valores vinculados às Diretrizes, Objetivos e Metas da SAÚDE</t>
  </si>
  <si>
    <t>(-)  Valores vinculados às Diretrizes, Objetivos e Metas da ASSISTÊNCIA SOCIAL</t>
  </si>
  <si>
    <t>RECURSOS DISPONÍVEIS PARA AS DEMAIS ÁREAS</t>
  </si>
  <si>
    <t>Estimativas de Gastos Fixos /  Obrigatórios - Demais Áreas</t>
  </si>
  <si>
    <t xml:space="preserve"> Valor passível de alocação para demais diretrizes, objetivos e metas. </t>
  </si>
  <si>
    <t>Parâmentos Utilizados nas Estimativas das Receitas e Despesas</t>
  </si>
  <si>
    <t>(RE) ESTIMADA</t>
  </si>
  <si>
    <t>PROJETADA</t>
  </si>
  <si>
    <t>PLANO PLURIANUAL 2026 - 2029</t>
  </si>
  <si>
    <t>FPM Cotas Extras</t>
  </si>
  <si>
    <t>Impostos</t>
  </si>
  <si>
    <t>1.2.1.5.XX.0.0.00.00.00</t>
  </si>
  <si>
    <t>1.2.1.5.YY.0.0.00.00.00</t>
  </si>
  <si>
    <t>1.3.2.1.01.0.X.AA.00.00</t>
  </si>
  <si>
    <t>1.3.2.1.01.0.X.BB.00.00</t>
  </si>
  <si>
    <t>1.3.2.1.01.0.X.CC.00.00</t>
  </si>
  <si>
    <t>1.3.2.1.01.0.X.DD.00.00</t>
  </si>
  <si>
    <t>1.3.2.1.01.0.X.02.00.00</t>
  </si>
  <si>
    <t xml:space="preserve">Remuneração de Depósitos de Recursos Não Vinculados </t>
  </si>
  <si>
    <t>1.3.2.1.04.0.X.00.00</t>
  </si>
  <si>
    <t>EXECUTADA</t>
  </si>
  <si>
    <t>1.7.1.1.51.1.0.00.00.00</t>
  </si>
  <si>
    <t>1.7.1.1.51.2.0.00.00.00</t>
  </si>
  <si>
    <t>Cota-Parte do FPM - Cotas Extraordinárias</t>
  </si>
  <si>
    <t>Cota-Parte do FPM - Cota Mensal</t>
  </si>
  <si>
    <t>1.7.1.1.52.0.0.00.00.00</t>
  </si>
  <si>
    <t>1.7.1.2.00.0.0.00.00.00</t>
  </si>
  <si>
    <t>1.7.1.3.00.0.0.00.00.00</t>
  </si>
  <si>
    <t>1.7.1.4.00.0.0.00.00.00</t>
  </si>
  <si>
    <t>Transferêncaias de Recursos do FNDE</t>
  </si>
  <si>
    <t>1.7.1.6.50.0.0.00.00.00</t>
  </si>
  <si>
    <t>1.7.1.7.50.0.0.00.00.00</t>
  </si>
  <si>
    <t>1.7.1.7.51.0.0.00.00.00</t>
  </si>
  <si>
    <t>1.7.1.7.52.0.0.00.00.00</t>
  </si>
  <si>
    <t>1.7.1.7.99.0.0.00.00.00</t>
  </si>
  <si>
    <t>1.7.2.1.50.0.0.00.00.00</t>
  </si>
  <si>
    <t>1.7.2.1.51.0.0.00.00.00</t>
  </si>
  <si>
    <t>1.7.2.1.52.0.0.00.00.00</t>
  </si>
  <si>
    <t>1.7.2.1.53.0.0.00.00.00</t>
  </si>
  <si>
    <t>1.7.2.1.98.0.0.00.00.00</t>
  </si>
  <si>
    <t>Outras Participações na Receita de Impostos do Estado</t>
  </si>
  <si>
    <t>1.7.2.3.50.0.0.00.00.00</t>
  </si>
  <si>
    <t>1.7.2.4.50.0.0.00.00.00</t>
  </si>
  <si>
    <t>1.7.2.4.51.0.0.00.00.00</t>
  </si>
  <si>
    <t>Outras Transferências dos Estados - SEDUC -  Educação</t>
  </si>
  <si>
    <t>1.7.2.4.99.0.0.AA.00.00</t>
  </si>
  <si>
    <t>1.7.2.4.99.0.0.BB.00.00</t>
  </si>
  <si>
    <t>1.7.2.9.99.0.0.CC.00.00</t>
  </si>
  <si>
    <t>1.7.2.9.99.0.0.AA.00.00</t>
  </si>
  <si>
    <t>1.7.2.9.99.0.0.BB.00.00</t>
  </si>
  <si>
    <t>Demais Transferências do Estado.</t>
  </si>
  <si>
    <t>1.7.5.1.50.0.0.00.00.00</t>
  </si>
  <si>
    <t xml:space="preserve">Transferências de Recursos do FUNDEB </t>
  </si>
  <si>
    <t>1.7.1.5.52.0.0.00.00.00</t>
  </si>
  <si>
    <t>Transferências de Recursos de Complementação da União ao Fundeb – VAAR</t>
  </si>
  <si>
    <t>1.7.1.5.XX.0.0.00.00.00</t>
  </si>
  <si>
    <t>Transferências de outras Complementações do Fundeb (VAAF e/ou VAAT)</t>
  </si>
  <si>
    <t>1.7.9.0.00.0.0.00.00.00</t>
  </si>
  <si>
    <t>2.4.1.1.00.0.0.00.00.00</t>
  </si>
  <si>
    <t>2.4.1.2.00.0.0.00.00.00</t>
  </si>
  <si>
    <t>TransF. De Recursos do FNDE</t>
  </si>
  <si>
    <t>2.4.1.3.00.0.0.00.00.00</t>
  </si>
  <si>
    <t>TransF. De Recursos do FNAS</t>
  </si>
  <si>
    <t>2.4.1.4.50.0.0.00.00.00</t>
  </si>
  <si>
    <t>2.4.1.4.51.0.0.00.00.00</t>
  </si>
  <si>
    <t>2.4.1.4.99.0.0.AA.00.00</t>
  </si>
  <si>
    <t>Transf.de Convênio da União p/ Programas de Assistência Social</t>
  </si>
  <si>
    <t>2.4.1.9.99.0.0.00.00.00</t>
  </si>
  <si>
    <t>Outras Transf. de Recursos da União</t>
  </si>
  <si>
    <t>2.4.2.1.50.0.0.00.00.00</t>
  </si>
  <si>
    <t>Demais Transferências Correntes</t>
  </si>
  <si>
    <t>2.4.1.4.99.0.0.BB.00.00</t>
  </si>
  <si>
    <t>2.4.2.2.50.0.0.00.00.00</t>
  </si>
  <si>
    <t>2.4.2.2.51.0.0.00.00.00</t>
  </si>
  <si>
    <t>2.4.2..2.99.0.0.AA.00.00</t>
  </si>
  <si>
    <t>2.4.2.2.99.0.0.BB.00.00</t>
  </si>
  <si>
    <t>2.9.9.0.00.1.0.01.00.00</t>
  </si>
  <si>
    <t>2.9.9.0.00.1.0.AA.00.00</t>
  </si>
  <si>
    <t>Demais Receitas de Capital</t>
  </si>
  <si>
    <t>6.2.1.3.0.00.00.00.00</t>
  </si>
  <si>
    <t>EXPECTATIVA DE CRESCIMENTO MÉDIO DAS TRANSFERÊNCIAS DO UNÃO</t>
  </si>
  <si>
    <t>EXPECTATIVA DE CRESCIMENTO MÉDIO DAS TRANSFERÊNCIAS DO ESTADO</t>
  </si>
  <si>
    <t>INFLAÇÃO MÉDIA ANUAL   (IPCA)</t>
  </si>
  <si>
    <t>Outras Transferências dos Estados - FEAS -  Assist Social (Fundo a Fundo)</t>
  </si>
  <si>
    <t xml:space="preserve">  </t>
  </si>
  <si>
    <t>1.7.2.9.53.0.0.00.00.00</t>
  </si>
  <si>
    <t>Transferência da Comp.Financeira das Perdas com Arrecadação de ICMS - LC nº 194/2022</t>
  </si>
  <si>
    <t xml:space="preserve">TOTAL DAS RECEITAS </t>
  </si>
  <si>
    <t>2029 / 2028</t>
  </si>
  <si>
    <t>2028 / 2027</t>
  </si>
  <si>
    <t>2027 / 2026</t>
  </si>
  <si>
    <t>2026 /2025</t>
  </si>
  <si>
    <t>A APLICAR  PARA FINS DO ART. 212  DA CONSTITUIÇÃO  - (25%)</t>
  </si>
  <si>
    <t>Transferências de Recursos do FNDE - Correntes e de Capital</t>
  </si>
  <si>
    <t>Transf. De Convenios Federais  - Correntes e de Capital</t>
  </si>
  <si>
    <t>Demais Transferências para Programas de Educação -  Correntes e de Capital</t>
  </si>
  <si>
    <t xml:space="preserve">(+) Transferências do FUNDEB + Complementações do Fundeb </t>
  </si>
  <si>
    <t xml:space="preserve">(-) Deduções da Receita para o FUNDEB </t>
  </si>
  <si>
    <t xml:space="preserve">(-)  Dedução das Receitas de Impostos </t>
  </si>
  <si>
    <t>Transf. De Convenios Federais - Correntes e de Capital</t>
  </si>
  <si>
    <t>Transf. De Convenios Estaduais - Correntes e de Capital</t>
  </si>
  <si>
    <t>Transferências de Recursos do SUS - Fundo Nacional de Saúde - Correntes e de Capital</t>
  </si>
  <si>
    <t>Transferências de Recursos do SUS - Fundo Estadual de Saúde - Correntes e de Capital</t>
  </si>
  <si>
    <t>(-)  Valores máximo a ser destinado para as Diretrizes, Objetivos e Metas do Poder Legislativo</t>
  </si>
  <si>
    <t>1.7.2.9.51.0.0.00.00.00</t>
  </si>
  <si>
    <r>
      <t xml:space="preserve">Transf. do Estado Destinadas a Aasistência Social -  </t>
    </r>
    <r>
      <rPr>
        <b/>
        <sz val="10"/>
        <rFont val="Arial"/>
        <family val="2"/>
      </rPr>
      <t>FEAS</t>
    </r>
  </si>
  <si>
    <r>
      <t xml:space="preserve">Transferências de Recursos do Fundo Nacional de Assistência Social – </t>
    </r>
    <r>
      <rPr>
        <b/>
        <sz val="10"/>
        <rFont val="Arial"/>
        <family val="2"/>
      </rPr>
      <t>FNAS</t>
    </r>
  </si>
  <si>
    <t xml:space="preserve">  (-)  Recursos de Emendas Parlamentares Individuais (código de natureza  1.7.1.0.00.00.00 com complemento de vínculo 3110)</t>
  </si>
  <si>
    <t xml:space="preserve">  (-)  Recursos de Emendas Parlamentares de Bancada (código de natureza  1.7.1.0.00.00.00 com complemento de vínculo 3120)</t>
  </si>
  <si>
    <t>IV - RECEITA CORRENTE LÍQUIDA PARA FINS DO LIMITE DAS DESPESAS COM PESSOAL (I-II)</t>
  </si>
  <si>
    <t xml:space="preserve"> Previsão de Aportes de Recursos Próprios para o FMAS</t>
  </si>
  <si>
    <t>Reestimada</t>
  </si>
  <si>
    <t>Município de Arroio do Padre / RS</t>
  </si>
  <si>
    <r>
      <t xml:space="preserve">Transf.do SUS  - Fundo a Fundo  -  </t>
    </r>
    <r>
      <rPr>
        <b/>
        <sz val="10"/>
        <rFont val="Arial"/>
        <family val="2"/>
      </rPr>
      <t>Bloco de Estruturação</t>
    </r>
  </si>
  <si>
    <r>
      <t xml:space="preserve">Transf.de Recursos do SUS - </t>
    </r>
    <r>
      <rPr>
        <b/>
        <sz val="10"/>
        <rFont val="Arial"/>
        <family val="2"/>
      </rPr>
      <t>FES (estado - repaqsses fundo a fundo)</t>
    </r>
  </si>
  <si>
    <r>
      <t xml:space="preserve">Trnans.de Convênio do Estado </t>
    </r>
    <r>
      <rPr>
        <b/>
        <sz val="10"/>
        <rFont val="Arial"/>
        <family val="2"/>
      </rPr>
      <t>para o SUS</t>
    </r>
  </si>
  <si>
    <r>
      <t xml:space="preserve">Transf.de Convênios do </t>
    </r>
    <r>
      <rPr>
        <b/>
        <sz val="10"/>
        <rFont val="Arial"/>
        <family val="2"/>
      </rPr>
      <t>Estado</t>
    </r>
    <r>
      <rPr>
        <sz val="10"/>
        <rFont val="Arial"/>
        <family val="2"/>
      </rPr>
      <t xml:space="preserve"> p/ Programas de </t>
    </r>
    <r>
      <rPr>
        <b/>
        <sz val="10"/>
        <rFont val="Arial"/>
        <family val="2"/>
      </rPr>
      <t>Educação</t>
    </r>
  </si>
  <si>
    <r>
      <t xml:space="preserve">Transf.de Convênios do </t>
    </r>
    <r>
      <rPr>
        <b/>
        <sz val="10"/>
        <rFont val="Arial"/>
        <family val="2"/>
      </rPr>
      <t>Estado</t>
    </r>
    <r>
      <rPr>
        <sz val="10"/>
        <rFont val="Arial"/>
        <family val="2"/>
      </rPr>
      <t xml:space="preserve"> p/ Programas de</t>
    </r>
    <r>
      <rPr>
        <b/>
        <sz val="10"/>
        <rFont val="Arial"/>
        <family val="2"/>
      </rPr>
      <t xml:space="preserve"> Assistência Social</t>
    </r>
  </si>
  <si>
    <r>
      <t xml:space="preserve">Outras Receitas Diretamente Arrecadadas pelo </t>
    </r>
    <r>
      <rPr>
        <b/>
        <sz val="10"/>
        <rFont val="Arial"/>
        <family val="2"/>
      </rPr>
      <t>RPPS</t>
    </r>
    <r>
      <rPr>
        <sz val="10"/>
        <rFont val="Arial"/>
        <family val="2"/>
      </rPr>
      <t xml:space="preserve"> </t>
    </r>
  </si>
  <si>
    <r>
      <t xml:space="preserve">Receitas Correntes Intraorçamentárias </t>
    </r>
    <r>
      <rPr>
        <b/>
        <sz val="10"/>
        <rFont val="Arial"/>
        <family val="2"/>
      </rPr>
      <t>-RPPS</t>
    </r>
  </si>
  <si>
    <r>
      <t xml:space="preserve">Receitas Correntes Intraorçamentárias </t>
    </r>
    <r>
      <rPr>
        <b/>
        <sz val="10"/>
        <rFont val="Arial"/>
        <family val="2"/>
      </rPr>
      <t>- Outras</t>
    </r>
  </si>
  <si>
    <r>
      <t xml:space="preserve">Receitas de Capital Intraorçamentárias </t>
    </r>
    <r>
      <rPr>
        <b/>
        <sz val="10"/>
        <rFont val="Arial"/>
        <family val="2"/>
      </rPr>
      <t>- RPPS</t>
    </r>
  </si>
  <si>
    <r>
      <t xml:space="preserve">Receitas de Capital Intraorçamentárias </t>
    </r>
    <r>
      <rPr>
        <b/>
        <sz val="10"/>
        <rFont val="Arial"/>
        <family val="2"/>
      </rPr>
      <t>- Outras</t>
    </r>
  </si>
  <si>
    <t>Tabela 08 - Avaliação Global de Valores Disponíveis para as Diretrizes, Objetivos e Metas  do PPA</t>
  </si>
  <si>
    <t>Tabela 07 – Estimativa de Valores Disponíveis para as Diretrizes, Objetivos e Metas a serem Financiados com Recursos vinculados à Assistência Social</t>
  </si>
  <si>
    <t>Tabela 06 – Estimativa de Valores Disponíveis para as Diretrizes, Objetivos e Metas a serem Financiados com Recursos vinculados à Saúde</t>
  </si>
  <si>
    <t>Tabela 05 – Estimativa de Valores Disponíveis para as Diretrizes, Objetivos e Metas a serem Financiados com Recursos vinculados à Educação</t>
  </si>
  <si>
    <t>Tabela 04 – Estimativa de Valores Máximos Disponíveis para as Diretrizes, Objetivos e Metas do  Poder Legislativo</t>
  </si>
  <si>
    <t>Tabela 03 - Estimativa de Limites de Gastos com Pessoal do Poder Executivo e Legislativo</t>
  </si>
  <si>
    <t>Tabela 02 - Estimativas para a Receita Corrente Líquida para fins dos Limites de Pessoal</t>
  </si>
  <si>
    <t>Tabela 01 - Memória de Cálculo das Estimativas das Principais Receitas</t>
  </si>
  <si>
    <t>Memória de Cálculo das Estimativas de Despesas Fixas / Obrigatórias</t>
  </si>
  <si>
    <r>
      <t xml:space="preserve">Remuneração de Depósitos de Recursos Vinculados da Educação </t>
    </r>
    <r>
      <rPr>
        <b/>
        <sz val="10"/>
        <rFont val="Arial"/>
        <family val="2"/>
      </rPr>
      <t>(MDE, Fundeb e Demais Vinculações da Educação)</t>
    </r>
    <r>
      <rPr>
        <sz val="10"/>
        <rFont val="Arial"/>
        <family val="2"/>
      </rPr>
      <t xml:space="preserve"> </t>
    </r>
  </si>
  <si>
    <r>
      <t xml:space="preserve">Remuneração de Depósitos de Recursos </t>
    </r>
    <r>
      <rPr>
        <b/>
        <sz val="10"/>
        <rFont val="Arial"/>
        <family val="2"/>
      </rPr>
      <t>Vinculados da Saúde  (ASPS +  Fonte Federal e Estadual)</t>
    </r>
  </si>
  <si>
    <r>
      <t xml:space="preserve">Remuneração de Depósitos de Recursos </t>
    </r>
    <r>
      <rPr>
        <b/>
        <sz val="10"/>
        <rFont val="Arial"/>
        <family val="2"/>
      </rPr>
      <t>Vinculados da Assistência Social ( Rec. Próprios +  Fonte Federal e Estadual)</t>
    </r>
  </si>
  <si>
    <t xml:space="preserve">( R ) Deduções da Receita </t>
  </si>
  <si>
    <t>Deduções da Receita de Impostos (digitar com sinal negativo)</t>
  </si>
  <si>
    <t>Demais Deduções da Receita Corrente (digitar com sinal negativo)</t>
  </si>
  <si>
    <t>Demais Deduções da Receita de Capital (digitar com sinal negativo)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</si>
</sst>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&quot;R$&quot;* #,##0.00_);_(&quot;R$&quot;* \(#,##0.00\);_(&quot;R$&quot;* &quot;-&quot;??_);_(@_)"/>
    <numFmt numFmtId="166" formatCode="0_);[Red]\(0\)"/>
    <numFmt numFmtId="167" formatCode="0&quot;.&quot;0&quot;.&quot;0&quot;.&quot;0&quot;.&quot;00&quot;.&quot;0&quot;.&quot;0"/>
    <numFmt numFmtId="168" formatCode="_(* #,##0_);_(* \(#,##0\);_(* &quot;-&quot;??_);_(@_)"/>
    <numFmt numFmtId="169" formatCode="0.0%"/>
    <numFmt numFmtId="170" formatCode="0_ ;\-0\ "/>
  </numFmts>
  <fonts count="38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7"/>
      <name val="Helv"/>
    </font>
    <font>
      <sz val="12"/>
      <color indexed="17"/>
      <name val="Helv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57"/>
      <name val="Arial"/>
      <family val="2"/>
    </font>
    <font>
      <b/>
      <sz val="14"/>
      <color indexed="57"/>
      <name val="Arial"/>
      <family val="2"/>
    </font>
    <font>
      <b/>
      <sz val="14"/>
      <name val="Arial"/>
      <family val="2"/>
    </font>
    <font>
      <b/>
      <sz val="12"/>
      <name val="Helv"/>
    </font>
    <font>
      <b/>
      <i/>
      <sz val="12"/>
      <name val="Arial"/>
      <family val="2"/>
    </font>
    <font>
      <b/>
      <i/>
      <sz val="9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2"/>
      <name val="Helv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11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4"/>
      <name val="Arial"/>
      <family val="2"/>
    </font>
    <font>
      <b/>
      <sz val="12"/>
      <color indexed="57"/>
      <name val="Arial"/>
      <family val="2"/>
    </font>
    <font>
      <sz val="14"/>
      <color indexed="17"/>
      <name val="Helv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sz val="8"/>
      <name val="Arial"/>
      <family val="2"/>
    </font>
    <font>
      <b/>
      <sz val="10"/>
      <name val="Helv"/>
    </font>
    <font>
      <sz val="12"/>
      <name val="Arial"/>
      <family val="2"/>
    </font>
    <font>
      <b/>
      <sz val="10"/>
      <color indexed="10"/>
      <name val="Arial"/>
      <family val="2"/>
    </font>
    <font>
      <sz val="10"/>
      <color indexed="57"/>
      <name val="Arial"/>
      <family val="2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indexed="22"/>
      </patternFill>
    </fill>
    <fill>
      <patternFill patternType="solid">
        <fgColor theme="3" tint="0.79998168889431442"/>
        <bgColor indexed="52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22"/>
      </patternFill>
    </fill>
    <fill>
      <patternFill patternType="solid">
        <fgColor theme="0"/>
        <bgColor indexed="22"/>
      </patternFill>
    </fill>
  </fills>
  <borders count="36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dashed">
        <color indexed="64"/>
      </top>
      <bottom/>
      <diagonal/>
    </border>
    <border>
      <left style="hair">
        <color indexed="64"/>
      </left>
      <right style="hair">
        <color indexed="64"/>
      </right>
      <top style="dashed">
        <color indexed="64"/>
      </top>
      <bottom/>
      <diagonal/>
    </border>
    <border>
      <left style="hair">
        <color indexed="64"/>
      </left>
      <right/>
      <top style="dashed">
        <color indexed="64"/>
      </top>
      <bottom/>
      <diagonal/>
    </border>
    <border>
      <left style="hair">
        <color indexed="64"/>
      </left>
      <right style="dashed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23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96">
    <xf numFmtId="0" fontId="0" fillId="0" borderId="0" xfId="0"/>
    <xf numFmtId="38" fontId="5" fillId="0" borderId="0" xfId="0" applyNumberFormat="1" applyFont="1" applyProtection="1">
      <protection locked="0"/>
    </xf>
    <xf numFmtId="38" fontId="4" fillId="0" borderId="0" xfId="0" applyNumberFormat="1" applyFont="1" applyProtection="1">
      <protection locked="0"/>
    </xf>
    <xf numFmtId="38" fontId="5" fillId="0" borderId="0" xfId="0" applyNumberFormat="1" applyFont="1"/>
    <xf numFmtId="9" fontId="5" fillId="2" borderId="0" xfId="3" applyFont="1" applyFill="1" applyBorder="1" applyProtection="1">
      <protection locked="0"/>
    </xf>
    <xf numFmtId="0" fontId="6" fillId="0" borderId="0" xfId="0" applyFont="1"/>
    <xf numFmtId="0" fontId="8" fillId="3" borderId="0" xfId="0" applyFont="1" applyFill="1"/>
    <xf numFmtId="0" fontId="9" fillId="3" borderId="0" xfId="0" applyFont="1" applyFill="1"/>
    <xf numFmtId="0" fontId="10" fillId="0" borderId="0" xfId="0" applyFont="1"/>
    <xf numFmtId="0" fontId="14" fillId="0" borderId="0" xfId="0" applyFont="1"/>
    <xf numFmtId="0" fontId="16" fillId="0" borderId="0" xfId="0" applyFont="1" applyAlignment="1" applyProtection="1">
      <alignment horizontal="left"/>
      <protection locked="0"/>
    </xf>
    <xf numFmtId="38" fontId="17" fillId="0" borderId="0" xfId="0" applyNumberFormat="1" applyFont="1" applyAlignment="1" applyProtection="1">
      <alignment horizontal="centerContinuous"/>
      <protection locked="0"/>
    </xf>
    <xf numFmtId="0" fontId="2" fillId="2" borderId="0" xfId="0" applyFont="1" applyFill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12" fillId="2" borderId="0" xfId="0" applyFont="1" applyFill="1" applyAlignment="1" applyProtection="1">
      <alignment horizontal="right"/>
      <protection locked="0"/>
    </xf>
    <xf numFmtId="0" fontId="11" fillId="2" borderId="0" xfId="0" applyFont="1" applyFill="1" applyAlignment="1" applyProtection="1">
      <alignment horizontal="left" vertical="center"/>
      <protection locked="0"/>
    </xf>
    <xf numFmtId="38" fontId="17" fillId="0" borderId="0" xfId="0" applyNumberFormat="1" applyFont="1" applyProtection="1">
      <protection locked="0"/>
    </xf>
    <xf numFmtId="166" fontId="11" fillId="3" borderId="1" xfId="0" applyNumberFormat="1" applyFont="1" applyFill="1" applyBorder="1" applyAlignment="1" applyProtection="1">
      <alignment horizontal="center"/>
      <protection locked="0"/>
    </xf>
    <xf numFmtId="166" fontId="11" fillId="3" borderId="2" xfId="0" applyNumberFormat="1" applyFont="1" applyFill="1" applyBorder="1" applyAlignment="1" applyProtection="1">
      <alignment horizontal="center"/>
      <protection locked="0"/>
    </xf>
    <xf numFmtId="38" fontId="11" fillId="0" borderId="1" xfId="0" applyNumberFormat="1" applyFont="1" applyBorder="1" applyProtection="1">
      <protection locked="0"/>
    </xf>
    <xf numFmtId="38" fontId="11" fillId="0" borderId="2" xfId="0" applyNumberFormat="1" applyFont="1" applyBorder="1" applyProtection="1">
      <protection locked="0"/>
    </xf>
    <xf numFmtId="38" fontId="11" fillId="2" borderId="2" xfId="0" applyNumberFormat="1" applyFont="1" applyFill="1" applyBorder="1" applyProtection="1">
      <protection locked="0"/>
    </xf>
    <xf numFmtId="38" fontId="11" fillId="0" borderId="3" xfId="0" applyNumberFormat="1" applyFont="1" applyBorder="1" applyProtection="1">
      <protection locked="0"/>
    </xf>
    <xf numFmtId="38" fontId="11" fillId="2" borderId="4" xfId="0" applyNumberFormat="1" applyFont="1" applyFill="1" applyBorder="1" applyProtection="1">
      <protection locked="0"/>
    </xf>
    <xf numFmtId="38" fontId="11" fillId="0" borderId="5" xfId="0" applyNumberFormat="1" applyFont="1" applyBorder="1" applyProtection="1">
      <protection locked="0"/>
    </xf>
    <xf numFmtId="0" fontId="19" fillId="0" borderId="0" xfId="0" applyFont="1"/>
    <xf numFmtId="0" fontId="19" fillId="0" borderId="0" xfId="0" applyFont="1" applyAlignment="1">
      <alignment horizontal="center"/>
    </xf>
    <xf numFmtId="164" fontId="7" fillId="0" borderId="6" xfId="0" applyNumberFormat="1" applyFont="1" applyBorder="1"/>
    <xf numFmtId="0" fontId="21" fillId="0" borderId="0" xfId="0" applyFont="1"/>
    <xf numFmtId="0" fontId="18" fillId="0" borderId="0" xfId="0" applyFont="1"/>
    <xf numFmtId="3" fontId="18" fillId="0" borderId="0" xfId="0" applyNumberFormat="1" applyFont="1"/>
    <xf numFmtId="43" fontId="7" fillId="0" borderId="6" xfId="0" applyNumberFormat="1" applyFont="1" applyBorder="1"/>
    <xf numFmtId="0" fontId="25" fillId="3" borderId="0" xfId="0" applyFont="1" applyFill="1"/>
    <xf numFmtId="0" fontId="26" fillId="0" borderId="0" xfId="0" applyFont="1" applyProtection="1">
      <protection locked="0"/>
    </xf>
    <xf numFmtId="0" fontId="24" fillId="0" borderId="0" xfId="0" applyFont="1"/>
    <xf numFmtId="0" fontId="8" fillId="4" borderId="0" xfId="0" applyFont="1" applyFill="1"/>
    <xf numFmtId="0" fontId="0" fillId="4" borderId="0" xfId="0" applyFill="1"/>
    <xf numFmtId="4" fontId="11" fillId="2" borderId="2" xfId="0" applyNumberFormat="1" applyFont="1" applyFill="1" applyBorder="1" applyAlignment="1" applyProtection="1">
      <alignment vertical="center"/>
      <protection locked="0"/>
    </xf>
    <xf numFmtId="4" fontId="15" fillId="2" borderId="2" xfId="0" applyNumberFormat="1" applyFont="1" applyFill="1" applyBorder="1" applyProtection="1">
      <protection locked="0"/>
    </xf>
    <xf numFmtId="166" fontId="15" fillId="3" borderId="1" xfId="0" applyNumberFormat="1" applyFont="1" applyFill="1" applyBorder="1" applyAlignment="1">
      <alignment horizontal="center" vertical="center"/>
    </xf>
    <xf numFmtId="166" fontId="15" fillId="3" borderId="2" xfId="0" applyNumberFormat="1" applyFont="1" applyFill="1" applyBorder="1" applyAlignment="1">
      <alignment horizontal="center" vertical="center"/>
    </xf>
    <xf numFmtId="0" fontId="8" fillId="0" borderId="0" xfId="0" applyFont="1"/>
    <xf numFmtId="0" fontId="25" fillId="0" borderId="0" xfId="0" applyFont="1"/>
    <xf numFmtId="0" fontId="9" fillId="0" borderId="0" xfId="0" applyFont="1"/>
    <xf numFmtId="3" fontId="27" fillId="0" borderId="0" xfId="0" applyNumberFormat="1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justify" vertical="top" wrapText="1"/>
    </xf>
    <xf numFmtId="0" fontId="6" fillId="5" borderId="6" xfId="0" applyFont="1" applyFill="1" applyBorder="1" applyAlignment="1">
      <alignment horizontal="center"/>
    </xf>
    <xf numFmtId="0" fontId="6" fillId="6" borderId="6" xfId="0" applyFont="1" applyFill="1" applyBorder="1" applyProtection="1">
      <protection locked="0"/>
    </xf>
    <xf numFmtId="0" fontId="6" fillId="6" borderId="6" xfId="0" applyFont="1" applyFill="1" applyBorder="1"/>
    <xf numFmtId="0" fontId="6" fillId="7" borderId="6" xfId="0" applyFont="1" applyFill="1" applyBorder="1"/>
    <xf numFmtId="10" fontId="7" fillId="8" borderId="6" xfId="0" applyNumberFormat="1" applyFont="1" applyFill="1" applyBorder="1" applyAlignment="1">
      <alignment horizontal="center"/>
    </xf>
    <xf numFmtId="0" fontId="36" fillId="0" borderId="0" xfId="0" applyFont="1"/>
    <xf numFmtId="0" fontId="36" fillId="3" borderId="0" xfId="0" applyFont="1" applyFill="1"/>
    <xf numFmtId="0" fontId="8" fillId="0" borderId="0" xfId="0" quotePrefix="1" applyFont="1"/>
    <xf numFmtId="0" fontId="7" fillId="0" borderId="0" xfId="0" quotePrefix="1" applyFont="1"/>
    <xf numFmtId="164" fontId="3" fillId="8" borderId="6" xfId="0" applyNumberFormat="1" applyFont="1" applyFill="1" applyBorder="1"/>
    <xf numFmtId="0" fontId="3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0" fillId="0" borderId="0" xfId="0" applyFont="1" applyAlignment="1">
      <alignment horizontal="left" vertical="center" indent="2"/>
    </xf>
    <xf numFmtId="0" fontId="30" fillId="0" borderId="0" xfId="0" applyFont="1" applyAlignment="1">
      <alignment vertical="center"/>
    </xf>
    <xf numFmtId="165" fontId="7" fillId="0" borderId="0" xfId="1" applyFont="1" applyAlignment="1">
      <alignment vertical="center"/>
    </xf>
    <xf numFmtId="0" fontId="28" fillId="9" borderId="0" xfId="0" applyFont="1" applyFill="1" applyAlignment="1">
      <alignment horizontal="center" vertical="center"/>
    </xf>
    <xf numFmtId="0" fontId="28" fillId="9" borderId="7" xfId="0" applyFont="1" applyFill="1" applyBorder="1" applyAlignment="1">
      <alignment horizontal="left" vertical="center"/>
    </xf>
    <xf numFmtId="0" fontId="28" fillId="9" borderId="8" xfId="0" applyFont="1" applyFill="1" applyBorder="1" applyAlignment="1">
      <alignment horizontal="left" vertical="center" indent="2"/>
    </xf>
    <xf numFmtId="0" fontId="28" fillId="9" borderId="9" xfId="0" applyFont="1" applyFill="1" applyBorder="1" applyAlignment="1">
      <alignment vertical="center"/>
    </xf>
    <xf numFmtId="0" fontId="30" fillId="9" borderId="0" xfId="0" applyFont="1" applyFill="1" applyAlignment="1">
      <alignment horizontal="left" vertical="center" indent="1"/>
    </xf>
    <xf numFmtId="0" fontId="28" fillId="9" borderId="10" xfId="0" applyFont="1" applyFill="1" applyBorder="1" applyAlignment="1">
      <alignment horizontal="left" vertical="center" indent="1"/>
    </xf>
    <xf numFmtId="0" fontId="30" fillId="9" borderId="0" xfId="0" applyFont="1" applyFill="1" applyAlignment="1">
      <alignment horizontal="left" vertical="center"/>
    </xf>
    <xf numFmtId="168" fontId="30" fillId="9" borderId="0" xfId="4" applyNumberFormat="1" applyFont="1" applyFill="1" applyBorder="1" applyAlignment="1" applyProtection="1">
      <alignment horizontal="left" vertical="center"/>
    </xf>
    <xf numFmtId="168" fontId="30" fillId="9" borderId="0" xfId="4" applyNumberFormat="1" applyFont="1" applyFill="1" applyBorder="1" applyAlignment="1" applyProtection="1">
      <alignment vertical="center"/>
    </xf>
    <xf numFmtId="168" fontId="30" fillId="9" borderId="0" xfId="4" applyNumberFormat="1" applyFont="1" applyFill="1" applyAlignment="1" applyProtection="1">
      <alignment vertical="center"/>
    </xf>
    <xf numFmtId="0" fontId="28" fillId="9" borderId="0" xfId="0" applyFont="1" applyFill="1" applyAlignment="1">
      <alignment horizontal="left" vertical="center"/>
    </xf>
    <xf numFmtId="0" fontId="28" fillId="9" borderId="11" xfId="0" applyFont="1" applyFill="1" applyBorder="1" applyAlignment="1">
      <alignment horizontal="left" vertical="center"/>
    </xf>
    <xf numFmtId="0" fontId="28" fillId="9" borderId="0" xfId="0" applyFont="1" applyFill="1" applyAlignment="1">
      <alignment horizontal="left" vertical="center" indent="1"/>
    </xf>
    <xf numFmtId="0" fontId="28" fillId="9" borderId="12" xfId="0" applyFont="1" applyFill="1" applyBorder="1" applyAlignment="1">
      <alignment horizontal="left" vertical="center" indent="1"/>
    </xf>
    <xf numFmtId="0" fontId="30" fillId="9" borderId="0" xfId="0" applyFont="1" applyFill="1" applyAlignment="1">
      <alignment vertical="center"/>
    </xf>
    <xf numFmtId="41" fontId="28" fillId="9" borderId="0" xfId="4" applyNumberFormat="1" applyFont="1" applyFill="1" applyBorder="1" applyAlignment="1" applyProtection="1">
      <alignment vertical="center"/>
    </xf>
    <xf numFmtId="41" fontId="30" fillId="9" borderId="0" xfId="4" applyNumberFormat="1" applyFont="1" applyFill="1" applyBorder="1" applyAlignment="1" applyProtection="1">
      <alignment vertical="center"/>
    </xf>
    <xf numFmtId="41" fontId="30" fillId="9" borderId="0" xfId="4" applyNumberFormat="1" applyFont="1" applyFill="1" applyAlignment="1" applyProtection="1">
      <alignment vertical="center"/>
    </xf>
    <xf numFmtId="43" fontId="30" fillId="9" borderId="13" xfId="4" applyNumberFormat="1" applyFont="1" applyFill="1" applyBorder="1" applyAlignment="1" applyProtection="1">
      <alignment vertical="center"/>
    </xf>
    <xf numFmtId="43" fontId="30" fillId="9" borderId="6" xfId="0" applyNumberFormat="1" applyFont="1" applyFill="1" applyBorder="1" applyAlignment="1">
      <alignment horizontal="right" vertical="center"/>
    </xf>
    <xf numFmtId="43" fontId="30" fillId="9" borderId="14" xfId="0" applyNumberFormat="1" applyFont="1" applyFill="1" applyBorder="1" applyAlignment="1">
      <alignment horizontal="right" vertical="center"/>
    </xf>
    <xf numFmtId="43" fontId="28" fillId="9" borderId="13" xfId="4" applyNumberFormat="1" applyFont="1" applyFill="1" applyBorder="1" applyAlignment="1" applyProtection="1">
      <alignment vertical="center"/>
    </xf>
    <xf numFmtId="43" fontId="30" fillId="9" borderId="15" xfId="4" applyNumberFormat="1" applyFont="1" applyFill="1" applyBorder="1" applyAlignment="1" applyProtection="1">
      <alignment vertical="center"/>
    </xf>
    <xf numFmtId="43" fontId="30" fillId="9" borderId="6" xfId="4" applyNumberFormat="1" applyFont="1" applyFill="1" applyBorder="1" applyAlignment="1" applyProtection="1">
      <alignment vertical="center"/>
    </xf>
    <xf numFmtId="43" fontId="28" fillId="9" borderId="16" xfId="4" applyNumberFormat="1" applyFont="1" applyFill="1" applyBorder="1" applyAlignment="1" applyProtection="1">
      <alignment vertical="center"/>
    </xf>
    <xf numFmtId="43" fontId="28" fillId="9" borderId="6" xfId="4" applyNumberFormat="1" applyFont="1" applyFill="1" applyBorder="1" applyAlignment="1" applyProtection="1">
      <alignment vertical="center"/>
    </xf>
    <xf numFmtId="168" fontId="28" fillId="9" borderId="0" xfId="4" applyNumberFormat="1" applyFont="1" applyFill="1" applyBorder="1" applyAlignment="1" applyProtection="1">
      <alignment horizontal="center" vertical="center"/>
    </xf>
    <xf numFmtId="0" fontId="28" fillId="9" borderId="6" xfId="0" applyFont="1" applyFill="1" applyBorder="1" applyAlignment="1">
      <alignment horizontal="left" vertical="center"/>
    </xf>
    <xf numFmtId="41" fontId="28" fillId="9" borderId="17" xfId="4" applyNumberFormat="1" applyFont="1" applyFill="1" applyBorder="1" applyAlignment="1" applyProtection="1">
      <alignment horizontal="center" vertical="center"/>
    </xf>
    <xf numFmtId="43" fontId="30" fillId="9" borderId="15" xfId="1" applyNumberFormat="1" applyFont="1" applyFill="1" applyBorder="1" applyAlignment="1" applyProtection="1">
      <alignment vertical="center"/>
      <protection locked="0"/>
    </xf>
    <xf numFmtId="43" fontId="28" fillId="9" borderId="15" xfId="1" applyNumberFormat="1" applyFont="1" applyFill="1" applyBorder="1" applyAlignment="1" applyProtection="1">
      <alignment vertical="center"/>
      <protection locked="0"/>
    </xf>
    <xf numFmtId="43" fontId="28" fillId="9" borderId="14" xfId="1" applyNumberFormat="1" applyFont="1" applyFill="1" applyBorder="1" applyAlignment="1" applyProtection="1">
      <alignment vertical="center"/>
      <protection locked="0"/>
    </xf>
    <xf numFmtId="170" fontId="28" fillId="9" borderId="6" xfId="4" applyNumberFormat="1" applyFont="1" applyFill="1" applyBorder="1" applyAlignment="1" applyProtection="1">
      <alignment horizontal="center" vertical="center"/>
    </xf>
    <xf numFmtId="0" fontId="28" fillId="9" borderId="17" xfId="0" applyFont="1" applyFill="1" applyBorder="1" applyAlignment="1">
      <alignment horizontal="left" vertical="center"/>
    </xf>
    <xf numFmtId="165" fontId="30" fillId="9" borderId="15" xfId="1" applyFont="1" applyFill="1" applyBorder="1" applyAlignment="1" applyProtection="1">
      <alignment horizontal="left" vertical="center" indent="1"/>
    </xf>
    <xf numFmtId="165" fontId="28" fillId="9" borderId="15" xfId="1" applyFont="1" applyFill="1" applyBorder="1" applyAlignment="1" applyProtection="1">
      <alignment horizontal="left" vertical="center" indent="1"/>
    </xf>
    <xf numFmtId="168" fontId="30" fillId="0" borderId="0" xfId="4" applyNumberFormat="1" applyFont="1" applyFill="1" applyBorder="1" applyAlignment="1" applyProtection="1">
      <alignment horizontal="left" vertical="center" wrapText="1" indent="1"/>
    </xf>
    <xf numFmtId="168" fontId="7" fillId="0" borderId="0" xfId="4" applyNumberFormat="1" applyFont="1" applyAlignment="1">
      <alignment vertical="center"/>
    </xf>
    <xf numFmtId="0" fontId="28" fillId="9" borderId="15" xfId="0" applyFont="1" applyFill="1" applyBorder="1" applyAlignment="1">
      <alignment horizontal="left" vertical="center"/>
    </xf>
    <xf numFmtId="170" fontId="28" fillId="9" borderId="17" xfId="4" applyNumberFormat="1" applyFont="1" applyFill="1" applyBorder="1" applyAlignment="1" applyProtection="1">
      <alignment horizontal="center" vertical="center"/>
    </xf>
    <xf numFmtId="43" fontId="30" fillId="9" borderId="17" xfId="4" applyNumberFormat="1" applyFont="1" applyFill="1" applyBorder="1" applyAlignment="1" applyProtection="1">
      <alignment horizontal="center" vertical="center"/>
    </xf>
    <xf numFmtId="0" fontId="28" fillId="9" borderId="0" xfId="0" applyFont="1" applyFill="1" applyAlignment="1">
      <alignment vertical="center"/>
    </xf>
    <xf numFmtId="168" fontId="30" fillId="9" borderId="0" xfId="4" applyNumberFormat="1" applyFont="1" applyFill="1" applyAlignment="1" applyProtection="1">
      <alignment horizontal="right" vertical="center"/>
    </xf>
    <xf numFmtId="0" fontId="28" fillId="9" borderId="18" xfId="0" applyFont="1" applyFill="1" applyBorder="1" applyAlignment="1">
      <alignment horizontal="center" vertical="center"/>
    </xf>
    <xf numFmtId="0" fontId="28" fillId="9" borderId="0" xfId="0" applyFont="1" applyFill="1" applyAlignment="1">
      <alignment horizontal="left" vertical="center" wrapText="1" indent="2"/>
    </xf>
    <xf numFmtId="43" fontId="30" fillId="9" borderId="0" xfId="4" applyNumberFormat="1" applyFont="1" applyFill="1" applyBorder="1" applyAlignment="1" applyProtection="1">
      <alignment horizontal="left" vertical="center" wrapText="1" indent="1"/>
    </xf>
    <xf numFmtId="43" fontId="28" fillId="9" borderId="0" xfId="4" applyNumberFormat="1" applyFont="1" applyFill="1" applyBorder="1" applyAlignment="1" applyProtection="1">
      <alignment horizontal="left" vertical="center" wrapText="1" indent="1"/>
    </xf>
    <xf numFmtId="43" fontId="28" fillId="9" borderId="15" xfId="4" applyNumberFormat="1" applyFont="1" applyFill="1" applyBorder="1" applyAlignment="1" applyProtection="1">
      <alignment horizontal="left" vertical="center" wrapText="1" indent="1"/>
    </xf>
    <xf numFmtId="43" fontId="28" fillId="9" borderId="19" xfId="4" applyNumberFormat="1" applyFont="1" applyFill="1" applyBorder="1" applyAlignment="1" applyProtection="1">
      <alignment horizontal="left" vertical="center" wrapText="1" indent="1"/>
    </xf>
    <xf numFmtId="0" fontId="28" fillId="9" borderId="6" xfId="4" applyNumberFormat="1" applyFont="1" applyFill="1" applyBorder="1" applyAlignment="1" applyProtection="1">
      <alignment horizontal="center" vertical="center" wrapText="1"/>
    </xf>
    <xf numFmtId="43" fontId="28" fillId="9" borderId="6" xfId="4" applyNumberFormat="1" applyFont="1" applyFill="1" applyBorder="1" applyAlignment="1" applyProtection="1">
      <alignment horizontal="left" vertical="center" wrapText="1" indent="1"/>
    </xf>
    <xf numFmtId="43" fontId="30" fillId="9" borderId="15" xfId="4" applyNumberFormat="1" applyFont="1" applyFill="1" applyBorder="1" applyAlignment="1" applyProtection="1">
      <alignment vertical="center" wrapText="1"/>
    </xf>
    <xf numFmtId="43" fontId="30" fillId="9" borderId="19" xfId="4" applyNumberFormat="1" applyFont="1" applyFill="1" applyBorder="1" applyAlignment="1" applyProtection="1">
      <alignment horizontal="left" vertical="center" wrapText="1" indent="1"/>
    </xf>
    <xf numFmtId="43" fontId="30" fillId="9" borderId="15" xfId="4" applyNumberFormat="1" applyFont="1" applyFill="1" applyBorder="1" applyAlignment="1" applyProtection="1">
      <alignment horizontal="left" vertical="center" wrapText="1" indent="1"/>
    </xf>
    <xf numFmtId="0" fontId="30" fillId="9" borderId="0" xfId="0" applyFont="1" applyFill="1" applyAlignment="1">
      <alignment horizontal="left" vertical="center" wrapText="1" indent="2"/>
    </xf>
    <xf numFmtId="0" fontId="28" fillId="9" borderId="20" xfId="4" applyNumberFormat="1" applyFont="1" applyFill="1" applyBorder="1" applyAlignment="1" applyProtection="1">
      <alignment horizontal="center" vertical="center" wrapText="1"/>
    </xf>
    <xf numFmtId="0" fontId="28" fillId="9" borderId="17" xfId="0" applyFont="1" applyFill="1" applyBorder="1" applyAlignment="1">
      <alignment horizontal="left" vertical="center" wrapText="1"/>
    </xf>
    <xf numFmtId="0" fontId="30" fillId="9" borderId="15" xfId="0" applyFont="1" applyFill="1" applyBorder="1" applyAlignment="1">
      <alignment horizontal="left" vertical="center" wrapText="1" indent="1"/>
    </xf>
    <xf numFmtId="0" fontId="28" fillId="9" borderId="14" xfId="0" applyFont="1" applyFill="1" applyBorder="1" applyAlignment="1">
      <alignment horizontal="left" vertical="center" indent="1"/>
    </xf>
    <xf numFmtId="0" fontId="28" fillId="9" borderId="17" xfId="0" applyFont="1" applyFill="1" applyBorder="1" applyAlignment="1">
      <alignment horizontal="left" vertical="center" indent="1"/>
    </xf>
    <xf numFmtId="43" fontId="28" fillId="9" borderId="17" xfId="4" applyNumberFormat="1" applyFont="1" applyFill="1" applyBorder="1" applyAlignment="1" applyProtection="1">
      <alignment horizontal="left" vertical="center" wrapText="1" indent="1"/>
    </xf>
    <xf numFmtId="43" fontId="30" fillId="9" borderId="14" xfId="4" applyNumberFormat="1" applyFont="1" applyFill="1" applyBorder="1" applyAlignment="1" applyProtection="1">
      <alignment horizontal="left" vertical="center" wrapText="1" indent="1"/>
    </xf>
    <xf numFmtId="0" fontId="6" fillId="9" borderId="6" xfId="0" applyFont="1" applyFill="1" applyBorder="1" applyAlignment="1">
      <alignment horizontal="left" vertical="center" wrapText="1" indent="2"/>
    </xf>
    <xf numFmtId="43" fontId="6" fillId="9" borderId="6" xfId="4" applyNumberFormat="1" applyFont="1" applyFill="1" applyBorder="1" applyAlignment="1" applyProtection="1">
      <alignment horizontal="left" vertical="center" wrapText="1" indent="1"/>
    </xf>
    <xf numFmtId="0" fontId="0" fillId="9" borderId="0" xfId="0" applyFill="1" applyAlignment="1">
      <alignment horizontal="center" vertical="center"/>
    </xf>
    <xf numFmtId="43" fontId="30" fillId="9" borderId="17" xfId="4" applyNumberFormat="1" applyFont="1" applyFill="1" applyBorder="1" applyAlignment="1" applyProtection="1">
      <alignment horizontal="left" vertical="center" wrapText="1" indent="1"/>
    </xf>
    <xf numFmtId="166" fontId="6" fillId="9" borderId="21" xfId="0" applyNumberFormat="1" applyFont="1" applyFill="1" applyBorder="1" applyAlignment="1">
      <alignment horizontal="center" vertical="center"/>
    </xf>
    <xf numFmtId="165" fontId="6" fillId="9" borderId="22" xfId="1" applyFont="1" applyFill="1" applyBorder="1" applyAlignment="1">
      <alignment horizontal="center" vertical="center"/>
    </xf>
    <xf numFmtId="0" fontId="6" fillId="9" borderId="14" xfId="2" applyFont="1" applyFill="1" applyBorder="1" applyAlignment="1">
      <alignment vertical="center" wrapText="1"/>
    </xf>
    <xf numFmtId="0" fontId="6" fillId="9" borderId="6" xfId="2" applyFont="1" applyFill="1" applyBorder="1" applyAlignment="1">
      <alignment vertical="center" wrapText="1"/>
    </xf>
    <xf numFmtId="0" fontId="7" fillId="9" borderId="6" xfId="2" applyFont="1" applyFill="1" applyBorder="1" applyAlignment="1">
      <alignment vertical="center" wrapText="1"/>
    </xf>
    <xf numFmtId="167" fontId="7" fillId="9" borderId="6" xfId="2" applyNumberFormat="1" applyFont="1" applyFill="1" applyBorder="1" applyAlignment="1">
      <alignment vertical="center" wrapText="1"/>
    </xf>
    <xf numFmtId="0" fontId="6" fillId="9" borderId="23" xfId="0" applyFont="1" applyFill="1" applyBorder="1"/>
    <xf numFmtId="0" fontId="6" fillId="9" borderId="0" xfId="0" applyFont="1" applyFill="1"/>
    <xf numFmtId="0" fontId="7" fillId="9" borderId="0" xfId="0" applyFont="1" applyFill="1" applyAlignment="1">
      <alignment wrapText="1"/>
    </xf>
    <xf numFmtId="166" fontId="33" fillId="9" borderId="24" xfId="0" applyNumberFormat="1" applyFont="1" applyFill="1" applyBorder="1" applyAlignment="1" applyProtection="1">
      <alignment horizontal="center"/>
      <protection locked="0"/>
    </xf>
    <xf numFmtId="166" fontId="33" fillId="9" borderId="25" xfId="0" applyNumberFormat="1" applyFont="1" applyFill="1" applyBorder="1" applyAlignment="1" applyProtection="1">
      <alignment horizontal="center"/>
      <protection locked="0"/>
    </xf>
    <xf numFmtId="166" fontId="33" fillId="9" borderId="26" xfId="0" applyNumberFormat="1" applyFont="1" applyFill="1" applyBorder="1" applyAlignment="1" applyProtection="1">
      <alignment horizontal="center"/>
      <protection locked="0"/>
    </xf>
    <xf numFmtId="166" fontId="33" fillId="9" borderId="27" xfId="0" applyNumberFormat="1" applyFont="1" applyFill="1" applyBorder="1" applyAlignment="1" applyProtection="1">
      <alignment horizontal="center"/>
      <protection locked="0"/>
    </xf>
    <xf numFmtId="166" fontId="6" fillId="9" borderId="1" xfId="0" applyNumberFormat="1" applyFont="1" applyFill="1" applyBorder="1" applyAlignment="1">
      <alignment horizontal="center" vertical="center"/>
    </xf>
    <xf numFmtId="166" fontId="6" fillId="9" borderId="2" xfId="0" applyNumberFormat="1" applyFont="1" applyFill="1" applyBorder="1" applyAlignment="1">
      <alignment horizontal="center" vertical="center"/>
    </xf>
    <xf numFmtId="43" fontId="33" fillId="9" borderId="1" xfId="0" applyNumberFormat="1" applyFont="1" applyFill="1" applyBorder="1" applyAlignment="1" applyProtection="1">
      <alignment horizontal="right"/>
      <protection locked="0"/>
    </xf>
    <xf numFmtId="43" fontId="6" fillId="9" borderId="6" xfId="0" applyNumberFormat="1" applyFont="1" applyFill="1" applyBorder="1"/>
    <xf numFmtId="43" fontId="7" fillId="9" borderId="6" xfId="0" applyNumberFormat="1" applyFont="1" applyFill="1" applyBorder="1"/>
    <xf numFmtId="164" fontId="6" fillId="9" borderId="6" xfId="0" applyNumberFormat="1" applyFont="1" applyFill="1" applyBorder="1"/>
    <xf numFmtId="164" fontId="6" fillId="9" borderId="0" xfId="0" applyNumberFormat="1" applyFont="1" applyFill="1"/>
    <xf numFmtId="1" fontId="6" fillId="9" borderId="0" xfId="0" applyNumberFormat="1" applyFont="1" applyFill="1" applyAlignment="1">
      <alignment horizontal="center"/>
    </xf>
    <xf numFmtId="164" fontId="6" fillId="8" borderId="0" xfId="0" applyNumberFormat="1" applyFont="1" applyFill="1"/>
    <xf numFmtId="0" fontId="11" fillId="9" borderId="11" xfId="0" applyFont="1" applyFill="1" applyBorder="1" applyAlignment="1" applyProtection="1">
      <alignment horizontal="center" vertical="center"/>
      <protection locked="0"/>
    </xf>
    <xf numFmtId="166" fontId="15" fillId="9" borderId="21" xfId="0" applyNumberFormat="1" applyFont="1" applyFill="1" applyBorder="1" applyAlignment="1">
      <alignment horizontal="center" vertical="center"/>
    </xf>
    <xf numFmtId="0" fontId="11" fillId="9" borderId="0" xfId="0" applyFont="1" applyFill="1" applyAlignment="1" applyProtection="1">
      <alignment horizontal="center" vertical="center"/>
      <protection locked="0"/>
    </xf>
    <xf numFmtId="165" fontId="15" fillId="9" borderId="22" xfId="1" applyFont="1" applyFill="1" applyBorder="1" applyAlignment="1">
      <alignment horizontal="center" vertical="center"/>
    </xf>
    <xf numFmtId="0" fontId="2" fillId="9" borderId="19" xfId="0" applyFont="1" applyFill="1" applyBorder="1"/>
    <xf numFmtId="0" fontId="2" fillId="9" borderId="28" xfId="0" applyFont="1" applyFill="1" applyBorder="1"/>
    <xf numFmtId="0" fontId="3" fillId="9" borderId="19" xfId="0" applyFont="1" applyFill="1" applyBorder="1"/>
    <xf numFmtId="0" fontId="3" fillId="9" borderId="28" xfId="0" applyFont="1" applyFill="1" applyBorder="1"/>
    <xf numFmtId="0" fontId="3" fillId="9" borderId="12" xfId="0" applyFont="1" applyFill="1" applyBorder="1"/>
    <xf numFmtId="0" fontId="10" fillId="9" borderId="23" xfId="0" applyFont="1" applyFill="1" applyBorder="1"/>
    <xf numFmtId="164" fontId="15" fillId="9" borderId="6" xfId="0" applyNumberFormat="1" applyFont="1" applyFill="1" applyBorder="1"/>
    <xf numFmtId="164" fontId="10" fillId="9" borderId="6" xfId="0" applyNumberFormat="1" applyFont="1" applyFill="1" applyBorder="1"/>
    <xf numFmtId="0" fontId="29" fillId="10" borderId="18" xfId="0" applyFont="1" applyFill="1" applyBorder="1" applyAlignment="1">
      <alignment horizontal="center" vertical="center"/>
    </xf>
    <xf numFmtId="0" fontId="29" fillId="10" borderId="6" xfId="0" applyFont="1" applyFill="1" applyBorder="1" applyAlignment="1">
      <alignment horizontal="center" vertical="center"/>
    </xf>
    <xf numFmtId="49" fontId="29" fillId="10" borderId="18" xfId="0" applyNumberFormat="1" applyFont="1" applyFill="1" applyBorder="1" applyAlignment="1">
      <alignment vertical="center"/>
    </xf>
    <xf numFmtId="43" fontId="29" fillId="10" borderId="6" xfId="0" applyNumberFormat="1" applyFont="1" applyFill="1" applyBorder="1" applyAlignment="1">
      <alignment vertical="center"/>
    </xf>
    <xf numFmtId="49" fontId="29" fillId="10" borderId="18" xfId="0" applyNumberFormat="1" applyFont="1" applyFill="1" applyBorder="1" applyAlignment="1">
      <alignment horizontal="left" vertical="center"/>
    </xf>
    <xf numFmtId="0" fontId="30" fillId="10" borderId="0" xfId="0" applyFont="1" applyFill="1" applyAlignment="1">
      <alignment horizontal="left" vertical="center" indent="1"/>
    </xf>
    <xf numFmtId="43" fontId="30" fillId="10" borderId="6" xfId="0" applyNumberFormat="1" applyFont="1" applyFill="1" applyBorder="1" applyAlignment="1">
      <alignment horizontal="left" vertical="center" indent="1"/>
    </xf>
    <xf numFmtId="49" fontId="30" fillId="10" borderId="0" xfId="0" applyNumberFormat="1" applyFont="1" applyFill="1" applyAlignment="1">
      <alignment horizontal="left" vertical="center" indent="1"/>
    </xf>
    <xf numFmtId="0" fontId="28" fillId="9" borderId="0" xfId="0" applyFont="1" applyFill="1" applyAlignment="1">
      <alignment horizontal="center" vertical="center" wrapText="1"/>
    </xf>
    <xf numFmtId="0" fontId="31" fillId="9" borderId="0" xfId="0" applyFont="1" applyFill="1" applyAlignment="1">
      <alignment horizontal="center" wrapText="1"/>
    </xf>
    <xf numFmtId="0" fontId="6" fillId="9" borderId="0" xfId="0" applyFont="1" applyFill="1" applyAlignment="1">
      <alignment horizontal="center" wrapText="1"/>
    </xf>
    <xf numFmtId="1" fontId="28" fillId="9" borderId="6" xfId="4" applyNumberFormat="1" applyFont="1" applyFill="1" applyBorder="1" applyAlignment="1" applyProtection="1">
      <alignment horizontal="center" vertical="center" wrapText="1"/>
    </xf>
    <xf numFmtId="0" fontId="30" fillId="9" borderId="6" xfId="4" applyNumberFormat="1" applyFont="1" applyFill="1" applyBorder="1" applyAlignment="1" applyProtection="1">
      <alignment horizontal="left" vertical="center"/>
    </xf>
    <xf numFmtId="43" fontId="30" fillId="9" borderId="6" xfId="4" applyNumberFormat="1" applyFont="1" applyFill="1" applyBorder="1" applyAlignment="1" applyProtection="1">
      <alignment horizontal="left" vertical="center" indent="2"/>
    </xf>
    <xf numFmtId="49" fontId="7" fillId="9" borderId="0" xfId="0" applyNumberFormat="1" applyFont="1" applyFill="1" applyAlignment="1">
      <alignment vertical="center"/>
    </xf>
    <xf numFmtId="168" fontId="7" fillId="9" borderId="0" xfId="4" applyNumberFormat="1" applyFont="1" applyFill="1" applyAlignment="1" applyProtection="1">
      <alignment vertical="center"/>
    </xf>
    <xf numFmtId="0" fontId="30" fillId="9" borderId="17" xfId="4" applyNumberFormat="1" applyFont="1" applyFill="1" applyBorder="1" applyAlignment="1" applyProtection="1">
      <alignment horizontal="left" vertical="center"/>
    </xf>
    <xf numFmtId="0" fontId="30" fillId="9" borderId="15" xfId="4" applyNumberFormat="1" applyFont="1" applyFill="1" applyBorder="1" applyAlignment="1" applyProtection="1">
      <alignment horizontal="left" vertical="center"/>
    </xf>
    <xf numFmtId="0" fontId="30" fillId="9" borderId="14" xfId="4" applyNumberFormat="1" applyFont="1" applyFill="1" applyBorder="1" applyAlignment="1" applyProtection="1">
      <alignment horizontal="left" vertical="center"/>
    </xf>
    <xf numFmtId="166" fontId="11" fillId="9" borderId="24" xfId="0" applyNumberFormat="1" applyFont="1" applyFill="1" applyBorder="1" applyAlignment="1" applyProtection="1">
      <alignment horizontal="center" wrapText="1"/>
      <protection locked="0"/>
    </xf>
    <xf numFmtId="166" fontId="11" fillId="9" borderId="25" xfId="0" applyNumberFormat="1" applyFont="1" applyFill="1" applyBorder="1" applyAlignment="1" applyProtection="1">
      <alignment horizontal="center" wrapText="1"/>
      <protection locked="0"/>
    </xf>
    <xf numFmtId="166" fontId="11" fillId="9" borderId="26" xfId="0" applyNumberFormat="1" applyFont="1" applyFill="1" applyBorder="1" applyAlignment="1" applyProtection="1">
      <alignment horizontal="center" wrapText="1"/>
      <protection locked="0"/>
    </xf>
    <xf numFmtId="166" fontId="11" fillId="9" borderId="27" xfId="0" applyNumberFormat="1" applyFont="1" applyFill="1" applyBorder="1" applyAlignment="1" applyProtection="1">
      <alignment horizontal="center" wrapText="1"/>
      <protection locked="0"/>
    </xf>
    <xf numFmtId="166" fontId="15" fillId="9" borderId="1" xfId="0" applyNumberFormat="1" applyFont="1" applyFill="1" applyBorder="1" applyAlignment="1">
      <alignment horizontal="center" vertical="center" wrapText="1"/>
    </xf>
    <xf numFmtId="166" fontId="15" fillId="9" borderId="2" xfId="0" applyNumberFormat="1" applyFont="1" applyFill="1" applyBorder="1" applyAlignment="1">
      <alignment horizontal="center" vertical="center" wrapText="1"/>
    </xf>
    <xf numFmtId="0" fontId="2" fillId="9" borderId="11" xfId="0" applyFont="1" applyFill="1" applyBorder="1" applyAlignment="1" applyProtection="1">
      <alignment horizontal="center" vertical="center"/>
      <protection locked="0"/>
    </xf>
    <xf numFmtId="0" fontId="2" fillId="9" borderId="0" xfId="0" applyFont="1" applyFill="1" applyAlignment="1" applyProtection="1">
      <alignment horizontal="center" vertical="center"/>
      <protection locked="0"/>
    </xf>
    <xf numFmtId="0" fontId="2" fillId="9" borderId="14" xfId="2" applyFont="1" applyFill="1" applyBorder="1" applyAlignment="1">
      <alignment vertical="center"/>
    </xf>
    <xf numFmtId="0" fontId="3" fillId="9" borderId="6" xfId="2" applyFont="1" applyFill="1" applyBorder="1" applyAlignment="1">
      <alignment vertical="center"/>
    </xf>
    <xf numFmtId="0" fontId="2" fillId="9" borderId="6" xfId="2" applyFont="1" applyFill="1" applyBorder="1" applyAlignment="1">
      <alignment vertical="center"/>
    </xf>
    <xf numFmtId="0" fontId="3" fillId="9" borderId="6" xfId="2" applyFont="1" applyFill="1" applyBorder="1" applyAlignment="1">
      <alignment vertical="center" wrapText="1"/>
    </xf>
    <xf numFmtId="0" fontId="2" fillId="9" borderId="20" xfId="2" applyFont="1" applyFill="1" applyBorder="1" applyAlignment="1">
      <alignment vertical="center"/>
    </xf>
    <xf numFmtId="0" fontId="3" fillId="9" borderId="20" xfId="2" applyFont="1" applyFill="1" applyBorder="1" applyAlignment="1">
      <alignment vertical="center"/>
    </xf>
    <xf numFmtId="0" fontId="2" fillId="9" borderId="12" xfId="0" applyFont="1" applyFill="1" applyBorder="1"/>
    <xf numFmtId="0" fontId="2" fillId="9" borderId="0" xfId="0" applyFont="1" applyFill="1"/>
    <xf numFmtId="0" fontId="3" fillId="0" borderId="0" xfId="0" applyFont="1"/>
    <xf numFmtId="49" fontId="3" fillId="9" borderId="6" xfId="2" applyNumberFormat="1" applyFont="1" applyFill="1" applyBorder="1" applyAlignment="1">
      <alignment vertical="center"/>
    </xf>
    <xf numFmtId="0" fontId="30" fillId="9" borderId="19" xfId="0" applyFont="1" applyFill="1" applyBorder="1" applyAlignment="1">
      <alignment horizontal="left" vertical="center" wrapText="1" indent="1"/>
    </xf>
    <xf numFmtId="0" fontId="28" fillId="9" borderId="29" xfId="4" applyNumberFormat="1" applyFont="1" applyFill="1" applyBorder="1" applyAlignment="1" applyProtection="1">
      <alignment horizontal="center" vertical="center" wrapText="1"/>
    </xf>
    <xf numFmtId="43" fontId="30" fillId="9" borderId="17" xfId="4" applyNumberFormat="1" applyFont="1" applyFill="1" applyBorder="1" applyAlignment="1" applyProtection="1">
      <alignment vertical="center" wrapText="1"/>
    </xf>
    <xf numFmtId="0" fontId="28" fillId="9" borderId="8" xfId="0" applyFont="1" applyFill="1" applyBorder="1" applyAlignment="1">
      <alignment horizontal="left" vertical="center" indent="1"/>
    </xf>
    <xf numFmtId="0" fontId="28" fillId="9" borderId="17" xfId="4" applyNumberFormat="1" applyFont="1" applyFill="1" applyBorder="1" applyAlignment="1" applyProtection="1">
      <alignment horizontal="center" vertical="center" wrapText="1"/>
    </xf>
    <xf numFmtId="43" fontId="28" fillId="9" borderId="14" xfId="4" applyNumberFormat="1" applyFont="1" applyFill="1" applyBorder="1" applyAlignment="1" applyProtection="1">
      <alignment horizontal="left" vertical="center" wrapText="1" indent="1"/>
    </xf>
    <xf numFmtId="0" fontId="28" fillId="9" borderId="30" xfId="0" applyFont="1" applyFill="1" applyBorder="1" applyAlignment="1">
      <alignment horizontal="left" vertical="center"/>
    </xf>
    <xf numFmtId="0" fontId="7" fillId="9" borderId="0" xfId="0" applyFont="1" applyFill="1" applyAlignment="1">
      <alignment horizontal="left" vertical="center" wrapText="1" indent="2"/>
    </xf>
    <xf numFmtId="43" fontId="7" fillId="9" borderId="19" xfId="4" applyNumberFormat="1" applyFont="1" applyFill="1" applyBorder="1" applyAlignment="1" applyProtection="1">
      <alignment horizontal="left" vertical="center" wrapText="1" indent="1"/>
    </xf>
    <xf numFmtId="0" fontId="30" fillId="9" borderId="19" xfId="0" applyFont="1" applyFill="1" applyBorder="1" applyAlignment="1">
      <alignment horizontal="left" vertical="center" indent="1"/>
    </xf>
    <xf numFmtId="0" fontId="30" fillId="9" borderId="15" xfId="0" applyFont="1" applyFill="1" applyBorder="1" applyAlignment="1">
      <alignment horizontal="left" vertical="center" indent="1"/>
    </xf>
    <xf numFmtId="49" fontId="30" fillId="9" borderId="18" xfId="0" applyNumberFormat="1" applyFont="1" applyFill="1" applyBorder="1" applyAlignment="1">
      <alignment horizontal="left" vertical="center" wrapText="1"/>
    </xf>
    <xf numFmtId="43" fontId="30" fillId="11" borderId="6" xfId="0" applyNumberFormat="1" applyFont="1" applyFill="1" applyBorder="1" applyAlignment="1">
      <alignment horizontal="left" vertical="center" indent="1"/>
    </xf>
    <xf numFmtId="43" fontId="28" fillId="10" borderId="6" xfId="0" applyNumberFormat="1" applyFont="1" applyFill="1" applyBorder="1" applyAlignment="1">
      <alignment horizontal="left" vertical="center"/>
    </xf>
    <xf numFmtId="49" fontId="28" fillId="10" borderId="18" xfId="0" applyNumberFormat="1" applyFont="1" applyFill="1" applyBorder="1" applyAlignment="1">
      <alignment vertical="center"/>
    </xf>
    <xf numFmtId="43" fontId="7" fillId="9" borderId="14" xfId="4" applyNumberFormat="1" applyFont="1" applyFill="1" applyBorder="1" applyAlignment="1" applyProtection="1">
      <alignment horizontal="left" vertical="center" wrapText="1" indent="1"/>
    </xf>
    <xf numFmtId="0" fontId="6" fillId="9" borderId="0" xfId="0" applyFont="1" applyFill="1" applyAlignment="1">
      <alignment horizontal="left" vertical="center" wrapText="1" indent="2"/>
    </xf>
    <xf numFmtId="43" fontId="0" fillId="0" borderId="0" xfId="0" applyNumberFormat="1"/>
    <xf numFmtId="0" fontId="7" fillId="0" borderId="0" xfId="0" applyFont="1"/>
    <xf numFmtId="43" fontId="8" fillId="0" borderId="0" xfId="0" applyNumberFormat="1" applyFont="1"/>
    <xf numFmtId="0" fontId="6" fillId="9" borderId="0" xfId="0" applyFont="1" applyFill="1" applyAlignment="1">
      <alignment vertical="center"/>
    </xf>
    <xf numFmtId="168" fontId="7" fillId="9" borderId="0" xfId="4" applyNumberFormat="1" applyFont="1" applyFill="1" applyAlignment="1" applyProtection="1">
      <alignment horizontal="right" vertical="center"/>
    </xf>
    <xf numFmtId="0" fontId="6" fillId="9" borderId="18" xfId="0" applyFont="1" applyFill="1" applyBorder="1" applyAlignment="1">
      <alignment horizontal="center" vertical="center"/>
    </xf>
    <xf numFmtId="0" fontId="6" fillId="9" borderId="17" xfId="0" applyFont="1" applyFill="1" applyBorder="1" applyAlignment="1">
      <alignment horizontal="left" vertical="center" wrapText="1"/>
    </xf>
    <xf numFmtId="0" fontId="6" fillId="9" borderId="20" xfId="4" applyNumberFormat="1" applyFont="1" applyFill="1" applyBorder="1" applyAlignment="1" applyProtection="1">
      <alignment horizontal="center" vertical="center" wrapText="1"/>
    </xf>
    <xf numFmtId="0" fontId="6" fillId="9" borderId="6" xfId="4" applyNumberFormat="1" applyFont="1" applyFill="1" applyBorder="1" applyAlignment="1" applyProtection="1">
      <alignment horizontal="center" vertical="center" wrapText="1"/>
    </xf>
    <xf numFmtId="43" fontId="7" fillId="9" borderId="17" xfId="4" applyNumberFormat="1" applyFont="1" applyFill="1" applyBorder="1" applyAlignment="1" applyProtection="1">
      <alignment horizontal="left" vertical="center" wrapText="1" indent="1"/>
    </xf>
    <xf numFmtId="168" fontId="7" fillId="0" borderId="0" xfId="4" applyNumberFormat="1" applyFont="1" applyFill="1" applyBorder="1" applyAlignment="1" applyProtection="1">
      <alignment horizontal="left" vertical="center" wrapText="1" indent="1"/>
    </xf>
    <xf numFmtId="43" fontId="7" fillId="9" borderId="15" xfId="4" applyNumberFormat="1" applyFont="1" applyFill="1" applyBorder="1" applyAlignment="1" applyProtection="1">
      <alignment horizontal="left" vertical="center" wrapText="1" indent="1"/>
    </xf>
    <xf numFmtId="43" fontId="7" fillId="9" borderId="0" xfId="4" applyNumberFormat="1" applyFont="1" applyFill="1" applyBorder="1" applyAlignment="1" applyProtection="1">
      <alignment horizontal="left" vertical="center" wrapText="1" indent="1"/>
    </xf>
    <xf numFmtId="0" fontId="6" fillId="9" borderId="6" xfId="0" applyFont="1" applyFill="1" applyBorder="1" applyAlignment="1">
      <alignment horizontal="left" vertical="center"/>
    </xf>
    <xf numFmtId="170" fontId="6" fillId="9" borderId="6" xfId="4" applyNumberFormat="1" applyFont="1" applyFill="1" applyBorder="1" applyAlignment="1" applyProtection="1">
      <alignment horizontal="center" vertical="center"/>
    </xf>
    <xf numFmtId="0" fontId="6" fillId="9" borderId="15" xfId="0" applyFont="1" applyFill="1" applyBorder="1" applyAlignment="1">
      <alignment horizontal="left" vertical="center"/>
    </xf>
    <xf numFmtId="170" fontId="6" fillId="9" borderId="17" xfId="4" applyNumberFormat="1" applyFont="1" applyFill="1" applyBorder="1" applyAlignment="1" applyProtection="1">
      <alignment horizontal="center" vertical="center"/>
    </xf>
    <xf numFmtId="165" fontId="7" fillId="9" borderId="15" xfId="1" applyFont="1" applyFill="1" applyBorder="1" applyAlignment="1" applyProtection="1">
      <alignment horizontal="left" vertical="center" indent="1"/>
    </xf>
    <xf numFmtId="43" fontId="7" fillId="9" borderId="17" xfId="4" applyNumberFormat="1" applyFont="1" applyFill="1" applyBorder="1" applyAlignment="1" applyProtection="1">
      <alignment horizontal="center" vertical="center"/>
    </xf>
    <xf numFmtId="43" fontId="7" fillId="9" borderId="15" xfId="1" applyNumberFormat="1" applyFont="1" applyFill="1" applyBorder="1" applyAlignment="1" applyProtection="1">
      <alignment vertical="center"/>
      <protection locked="0"/>
    </xf>
    <xf numFmtId="165" fontId="6" fillId="9" borderId="15" xfId="1" applyFont="1" applyFill="1" applyBorder="1" applyAlignment="1" applyProtection="1">
      <alignment horizontal="left" vertical="center" indent="1"/>
    </xf>
    <xf numFmtId="43" fontId="6" fillId="9" borderId="15" xfId="1" applyNumberFormat="1" applyFont="1" applyFill="1" applyBorder="1" applyAlignment="1" applyProtection="1">
      <alignment vertical="center"/>
      <protection locked="0"/>
    </xf>
    <xf numFmtId="165" fontId="6" fillId="9" borderId="14" xfId="1" applyFont="1" applyFill="1" applyBorder="1" applyAlignment="1" applyProtection="1">
      <alignment horizontal="left" vertical="center" indent="1"/>
    </xf>
    <xf numFmtId="43" fontId="6" fillId="9" borderId="14" xfId="1" applyNumberFormat="1" applyFont="1" applyFill="1" applyBorder="1" applyAlignment="1" applyProtection="1">
      <alignment vertical="center"/>
      <protection locked="0"/>
    </xf>
    <xf numFmtId="169" fontId="6" fillId="9" borderId="6" xfId="0" applyNumberFormat="1" applyFont="1" applyFill="1" applyBorder="1" applyAlignment="1" applyProtection="1">
      <alignment horizontal="center" vertical="center"/>
      <protection locked="0"/>
    </xf>
    <xf numFmtId="4" fontId="3" fillId="0" borderId="0" xfId="0" applyNumberFormat="1" applyFont="1"/>
    <xf numFmtId="164" fontId="2" fillId="9" borderId="6" xfId="0" applyNumberFormat="1" applyFont="1" applyFill="1" applyBorder="1"/>
    <xf numFmtId="4" fontId="3" fillId="0" borderId="6" xfId="0" applyNumberFormat="1" applyFont="1" applyBorder="1"/>
    <xf numFmtId="0" fontId="13" fillId="0" borderId="0" xfId="0" applyFont="1"/>
    <xf numFmtId="0" fontId="0" fillId="0" borderId="0" xfId="0"/>
    <xf numFmtId="38" fontId="19" fillId="0" borderId="31" xfId="0" applyNumberFormat="1" applyFont="1" applyBorder="1" applyAlignment="1">
      <alignment horizontal="center"/>
    </xf>
    <xf numFmtId="0" fontId="19" fillId="0" borderId="32" xfId="0" applyFont="1" applyBorder="1" applyAlignment="1">
      <alignment horizontal="center"/>
    </xf>
    <xf numFmtId="0" fontId="19" fillId="0" borderId="33" xfId="0" applyFont="1" applyBorder="1" applyAlignment="1">
      <alignment horizontal="center"/>
    </xf>
    <xf numFmtId="0" fontId="20" fillId="0" borderId="31" xfId="0" applyFont="1" applyBorder="1" applyAlignment="1">
      <alignment horizontal="center"/>
    </xf>
    <xf numFmtId="0" fontId="20" fillId="0" borderId="34" xfId="0" applyFont="1" applyBorder="1" applyAlignment="1">
      <alignment horizontal="center"/>
    </xf>
    <xf numFmtId="0" fontId="20" fillId="0" borderId="35" xfId="0" applyFont="1" applyBorder="1" applyAlignment="1">
      <alignment horizontal="center"/>
    </xf>
    <xf numFmtId="0" fontId="20" fillId="0" borderId="32" xfId="0" applyFont="1" applyBorder="1" applyAlignment="1">
      <alignment horizontal="center"/>
    </xf>
    <xf numFmtId="0" fontId="20" fillId="0" borderId="33" xfId="0" applyFont="1" applyBorder="1" applyAlignment="1">
      <alignment horizontal="center"/>
    </xf>
    <xf numFmtId="38" fontId="2" fillId="0" borderId="0" xfId="0" applyNumberFormat="1" applyFont="1" applyAlignment="1" applyProtection="1">
      <alignment horizontal="center"/>
      <protection locked="0"/>
    </xf>
    <xf numFmtId="0" fontId="34" fillId="0" borderId="0" xfId="0" applyFont="1" applyAlignment="1">
      <alignment horizontal="center"/>
    </xf>
    <xf numFmtId="38" fontId="11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38" fontId="2" fillId="0" borderId="0" xfId="0" applyNumberFormat="1" applyFont="1" applyAlignment="1">
      <alignment horizontal="center"/>
    </xf>
    <xf numFmtId="38" fontId="29" fillId="10" borderId="0" xfId="0" applyNumberFormat="1" applyFont="1" applyFill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38" fontId="29" fillId="9" borderId="0" xfId="0" applyNumberFormat="1" applyFont="1" applyFill="1" applyAlignment="1">
      <alignment horizontal="center" vertical="center" wrapText="1"/>
    </xf>
    <xf numFmtId="0" fontId="6" fillId="10" borderId="0" xfId="0" applyFont="1" applyFill="1" applyAlignment="1">
      <alignment horizontal="center" vertical="center" wrapText="1"/>
    </xf>
    <xf numFmtId="0" fontId="28" fillId="10" borderId="12" xfId="0" applyFont="1" applyFill="1" applyBorder="1" applyAlignment="1">
      <alignment horizontal="center" vertical="center"/>
    </xf>
    <xf numFmtId="0" fontId="6" fillId="9" borderId="12" xfId="0" applyFont="1" applyFill="1" applyBorder="1" applyAlignment="1">
      <alignment vertical="center"/>
    </xf>
    <xf numFmtId="0" fontId="28" fillId="9" borderId="10" xfId="0" applyFont="1" applyFill="1" applyBorder="1" applyAlignment="1">
      <alignment horizontal="center" vertical="center"/>
    </xf>
    <xf numFmtId="0" fontId="28" fillId="9" borderId="18" xfId="0" applyFont="1" applyFill="1" applyBorder="1" applyAlignment="1">
      <alignment horizontal="center" vertical="center"/>
    </xf>
    <xf numFmtId="0" fontId="0" fillId="9" borderId="20" xfId="0" applyFill="1" applyBorder="1" applyAlignment="1">
      <alignment horizontal="center" vertical="center"/>
    </xf>
    <xf numFmtId="49" fontId="28" fillId="9" borderId="11" xfId="0" applyNumberFormat="1" applyFont="1" applyFill="1" applyBorder="1" applyAlignment="1">
      <alignment horizontal="center" vertical="center" wrapText="1"/>
    </xf>
    <xf numFmtId="0" fontId="28" fillId="9" borderId="12" xfId="0" applyFont="1" applyFill="1" applyBorder="1" applyAlignment="1">
      <alignment horizontal="center" vertical="center" wrapText="1"/>
    </xf>
    <xf numFmtId="38" fontId="28" fillId="9" borderId="0" xfId="0" applyNumberFormat="1" applyFont="1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28" fillId="9" borderId="0" xfId="0" applyFont="1" applyFill="1" applyAlignment="1">
      <alignment horizontal="center" vertical="center" wrapText="1"/>
    </xf>
    <xf numFmtId="49" fontId="28" fillId="9" borderId="6" xfId="0" applyNumberFormat="1" applyFont="1" applyFill="1" applyBorder="1" applyAlignment="1">
      <alignment horizontal="center" vertical="center" wrapText="1"/>
    </xf>
    <xf numFmtId="0" fontId="28" fillId="9" borderId="6" xfId="0" applyFont="1" applyFill="1" applyBorder="1" applyAlignment="1">
      <alignment horizontal="center" vertical="center" wrapText="1"/>
    </xf>
    <xf numFmtId="0" fontId="28" fillId="9" borderId="10" xfId="4" applyNumberFormat="1" applyFont="1" applyFill="1" applyBorder="1" applyAlignment="1" applyProtection="1">
      <alignment horizontal="center" vertical="center"/>
    </xf>
    <xf numFmtId="0" fontId="28" fillId="9" borderId="18" xfId="4" applyNumberFormat="1" applyFont="1" applyFill="1" applyBorder="1" applyAlignment="1" applyProtection="1">
      <alignment horizontal="center" vertical="center"/>
    </xf>
    <xf numFmtId="0" fontId="37" fillId="9" borderId="0" xfId="0" applyFont="1" applyFill="1" applyAlignment="1">
      <alignment horizontal="center"/>
    </xf>
    <xf numFmtId="0" fontId="6" fillId="9" borderId="0" xfId="0" applyFont="1" applyFill="1" applyAlignment="1">
      <alignment horizontal="center"/>
    </xf>
    <xf numFmtId="0" fontId="7" fillId="9" borderId="0" xfId="0" applyFont="1" applyFill="1" applyAlignment="1">
      <alignment horizontal="center"/>
    </xf>
    <xf numFmtId="38" fontId="28" fillId="9" borderId="0" xfId="0" applyNumberFormat="1" applyFont="1" applyFill="1" applyAlignment="1">
      <alignment horizontal="center" vertical="center" wrapText="1"/>
    </xf>
    <xf numFmtId="0" fontId="28" fillId="9" borderId="0" xfId="0" applyFont="1" applyFill="1" applyAlignment="1">
      <alignment horizontal="center" vertical="center"/>
    </xf>
    <xf numFmtId="0" fontId="28" fillId="9" borderId="11" xfId="0" applyFont="1" applyFill="1" applyBorder="1" applyAlignment="1">
      <alignment horizontal="center" vertical="center"/>
    </xf>
    <xf numFmtId="0" fontId="28" fillId="9" borderId="6" xfId="0" applyFont="1" applyFill="1" applyBorder="1" applyAlignment="1">
      <alignment horizontal="center" vertical="center"/>
    </xf>
    <xf numFmtId="0" fontId="28" fillId="9" borderId="17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" fontId="28" fillId="9" borderId="17" xfId="0" applyNumberFormat="1" applyFont="1" applyFill="1" applyBorder="1" applyAlignment="1">
      <alignment horizontal="center" vertical="center"/>
    </xf>
    <xf numFmtId="0" fontId="37" fillId="9" borderId="0" xfId="0" applyFont="1" applyFill="1" applyAlignment="1">
      <alignment horizontal="center" wrapText="1"/>
    </xf>
    <xf numFmtId="0" fontId="6" fillId="9" borderId="0" xfId="0" applyFont="1" applyFill="1" applyAlignment="1">
      <alignment horizontal="center" wrapText="1"/>
    </xf>
    <xf numFmtId="168" fontId="28" fillId="9" borderId="11" xfId="4" applyNumberFormat="1" applyFont="1" applyFill="1" applyBorder="1" applyAlignment="1" applyProtection="1">
      <alignment horizontal="center" vertical="center"/>
    </xf>
    <xf numFmtId="38" fontId="6" fillId="9" borderId="0" xfId="0" applyNumberFormat="1" applyFont="1" applyFill="1" applyAlignment="1">
      <alignment horizontal="center" vertical="center" wrapText="1"/>
    </xf>
    <xf numFmtId="0" fontId="7" fillId="9" borderId="0" xfId="0" applyFont="1" applyFill="1" applyAlignment="1">
      <alignment horizontal="center" vertical="center" wrapText="1"/>
    </xf>
    <xf numFmtId="168" fontId="6" fillId="9" borderId="11" xfId="4" applyNumberFormat="1" applyFont="1" applyFill="1" applyBorder="1" applyAlignment="1" applyProtection="1">
      <alignment horizontal="center" vertical="center"/>
    </xf>
  </cellXfs>
  <cellStyles count="5">
    <cellStyle name="Moeda" xfId="1" builtinId="4"/>
    <cellStyle name="Normal" xfId="0" builtinId="0"/>
    <cellStyle name="Normal 6" xfId="2" xr:uid="{937763D0-9524-4926-A927-58FE936E55EE}"/>
    <cellStyle name="Porcentagem" xfId="3" builtinId="5"/>
    <cellStyle name="Vírgula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20</xdr:row>
      <xdr:rowOff>66676</xdr:rowOff>
    </xdr:from>
    <xdr:to>
      <xdr:col>5</xdr:col>
      <xdr:colOff>933450</xdr:colOff>
      <xdr:row>23</xdr:row>
      <xdr:rowOff>1725</xdr:rowOff>
    </xdr:to>
    <xdr:sp macro="" textlink="">
      <xdr:nvSpPr>
        <xdr:cNvPr id="7169" name="Rectangle 1">
          <a:extLst>
            <a:ext uri="{FF2B5EF4-FFF2-40B4-BE49-F238E27FC236}">
              <a16:creationId xmlns:a16="http://schemas.microsoft.com/office/drawing/2014/main" id="{B81CB2D1-3635-F5D6-AAC7-650FC050F8C1}"/>
            </a:ext>
          </a:extLst>
        </xdr:cNvPr>
        <xdr:cNvSpPr>
          <a:spLocks noChangeArrowheads="1"/>
        </xdr:cNvSpPr>
      </xdr:nvSpPr>
      <xdr:spPr bwMode="auto">
        <a:xfrm>
          <a:off x="161925" y="2771775"/>
          <a:ext cx="9467850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Os parâmetros acima foram utilizados para as projeções de receitas e despesas, bem como para os cálculos em valores correntes e constantes, de acordo com sua pertinência, ou não com as origem/espécie/rubrica de receita e/ou grupo de natureza de despesa.</a:t>
          </a:r>
        </a:p>
      </xdr:txBody>
    </xdr:sp>
    <xdr:clientData/>
  </xdr:twoCellAnchor>
  <xdr:twoCellAnchor>
    <xdr:from>
      <xdr:col>0</xdr:col>
      <xdr:colOff>1971675</xdr:colOff>
      <xdr:row>23</xdr:row>
      <xdr:rowOff>0</xdr:rowOff>
    </xdr:from>
    <xdr:to>
      <xdr:col>5</xdr:col>
      <xdr:colOff>314325</xdr:colOff>
      <xdr:row>23</xdr:row>
      <xdr:rowOff>0</xdr:rowOff>
    </xdr:to>
    <xdr:sp macro="" textlink="">
      <xdr:nvSpPr>
        <xdr:cNvPr id="35057" name="Line 6">
          <a:extLst>
            <a:ext uri="{FF2B5EF4-FFF2-40B4-BE49-F238E27FC236}">
              <a16:creationId xmlns:a16="http://schemas.microsoft.com/office/drawing/2014/main" id="{1619B63B-1828-E960-2109-44AE462681BC}"/>
            </a:ext>
          </a:extLst>
        </xdr:cNvPr>
        <xdr:cNvSpPr>
          <a:spLocks noChangeShapeType="1"/>
        </xdr:cNvSpPr>
      </xdr:nvSpPr>
      <xdr:spPr bwMode="auto">
        <a:xfrm>
          <a:off x="1971675" y="2990850"/>
          <a:ext cx="6172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371475</xdr:colOff>
      <xdr:row>23</xdr:row>
      <xdr:rowOff>0</xdr:rowOff>
    </xdr:from>
    <xdr:to>
      <xdr:col>5</xdr:col>
      <xdr:colOff>381000</xdr:colOff>
      <xdr:row>23</xdr:row>
      <xdr:rowOff>0</xdr:rowOff>
    </xdr:to>
    <xdr:sp macro="" textlink="">
      <xdr:nvSpPr>
        <xdr:cNvPr id="35058" name="Line 8">
          <a:extLst>
            <a:ext uri="{FF2B5EF4-FFF2-40B4-BE49-F238E27FC236}">
              <a16:creationId xmlns:a16="http://schemas.microsoft.com/office/drawing/2014/main" id="{A38413A5-22F3-E391-06AC-35D142824738}"/>
            </a:ext>
          </a:extLst>
        </xdr:cNvPr>
        <xdr:cNvSpPr>
          <a:spLocks noChangeShapeType="1"/>
        </xdr:cNvSpPr>
      </xdr:nvSpPr>
      <xdr:spPr bwMode="auto">
        <a:xfrm flipH="1">
          <a:off x="8201025" y="299085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18</xdr:row>
          <xdr:rowOff>19050</xdr:rowOff>
        </xdr:from>
        <xdr:to>
          <xdr:col>4</xdr:col>
          <xdr:colOff>1104900</xdr:colOff>
          <xdr:row>51</xdr:row>
          <xdr:rowOff>133350</xdr:rowOff>
        </xdr:to>
        <xdr:sp macro="" textlink="">
          <xdr:nvSpPr>
            <xdr:cNvPr id="21506" name="Object 2" hidden="1">
              <a:extLst>
                <a:ext uri="{63B3BB69-23CF-44E3-9099-C40C66FF867C}">
                  <a14:compatExt spid="_x0000_s21506"/>
                </a:ext>
                <a:ext uri="{FF2B5EF4-FFF2-40B4-BE49-F238E27FC236}">
                  <a16:creationId xmlns:a16="http://schemas.microsoft.com/office/drawing/2014/main" id="{00000000-0008-0000-0300-00000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819150</xdr:colOff>
      <xdr:row>0</xdr:row>
      <xdr:rowOff>0</xdr:rowOff>
    </xdr:from>
    <xdr:to>
      <xdr:col>0</xdr:col>
      <xdr:colOff>5343525</xdr:colOff>
      <xdr:row>1</xdr:row>
      <xdr:rowOff>47625</xdr:rowOff>
    </xdr:to>
    <xdr:sp macro="" textlink="">
      <xdr:nvSpPr>
        <xdr:cNvPr id="26857" name="Text Box 1">
          <a:extLst>
            <a:ext uri="{FF2B5EF4-FFF2-40B4-BE49-F238E27FC236}">
              <a16:creationId xmlns:a16="http://schemas.microsoft.com/office/drawing/2014/main" id="{E997814E-4594-9B11-FDDB-B64F53BC5F46}"/>
            </a:ext>
          </a:extLst>
        </xdr:cNvPr>
        <xdr:cNvSpPr txBox="1">
          <a:spLocks noChangeArrowheads="1"/>
        </xdr:cNvSpPr>
      </xdr:nvSpPr>
      <xdr:spPr bwMode="auto">
        <a:xfrm>
          <a:off x="819150" y="0"/>
          <a:ext cx="45243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819150</xdr:colOff>
      <xdr:row>0</xdr:row>
      <xdr:rowOff>0</xdr:rowOff>
    </xdr:from>
    <xdr:to>
      <xdr:col>8</xdr:col>
      <xdr:colOff>133350</xdr:colOff>
      <xdr:row>1</xdr:row>
      <xdr:rowOff>47625</xdr:rowOff>
    </xdr:to>
    <xdr:sp macro="" textlink="">
      <xdr:nvSpPr>
        <xdr:cNvPr id="27874" name="Text Box 1">
          <a:extLst>
            <a:ext uri="{FF2B5EF4-FFF2-40B4-BE49-F238E27FC236}">
              <a16:creationId xmlns:a16="http://schemas.microsoft.com/office/drawing/2014/main" id="{9848E616-3BCB-FA84-CF1F-1E8CFD3280E6}"/>
            </a:ext>
          </a:extLst>
        </xdr:cNvPr>
        <xdr:cNvSpPr txBox="1">
          <a:spLocks noChangeArrowheads="1"/>
        </xdr:cNvSpPr>
      </xdr:nvSpPr>
      <xdr:spPr bwMode="auto">
        <a:xfrm>
          <a:off x="819150" y="0"/>
          <a:ext cx="102870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819150</xdr:colOff>
      <xdr:row>0</xdr:row>
      <xdr:rowOff>0</xdr:rowOff>
    </xdr:from>
    <xdr:to>
      <xdr:col>26</xdr:col>
      <xdr:colOff>400050</xdr:colOff>
      <xdr:row>1</xdr:row>
      <xdr:rowOff>47625</xdr:rowOff>
    </xdr:to>
    <xdr:sp macro="" textlink="">
      <xdr:nvSpPr>
        <xdr:cNvPr id="29911" name="Text Box 1">
          <a:extLst>
            <a:ext uri="{FF2B5EF4-FFF2-40B4-BE49-F238E27FC236}">
              <a16:creationId xmlns:a16="http://schemas.microsoft.com/office/drawing/2014/main" id="{6BE65EAD-0914-B123-5333-1D202ED3579B}"/>
            </a:ext>
          </a:extLst>
        </xdr:cNvPr>
        <xdr:cNvSpPr txBox="1">
          <a:spLocks noChangeArrowheads="1"/>
        </xdr:cNvSpPr>
      </xdr:nvSpPr>
      <xdr:spPr bwMode="auto">
        <a:xfrm>
          <a:off x="819150" y="0"/>
          <a:ext cx="220599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4BB70-B1D1-421B-A5A5-AE94F3CDAE7A}">
  <sheetPr codeName="Plan7"/>
  <dimension ref="A1:I23"/>
  <sheetViews>
    <sheetView showGridLines="0" topLeftCell="A7" zoomScaleNormal="100" zoomScaleSheetLayoutView="70" workbookViewId="0">
      <selection activeCell="B14" sqref="B14"/>
    </sheetView>
  </sheetViews>
  <sheetFormatPr defaultColWidth="8.85546875" defaultRowHeight="12" x14ac:dyDescent="0.2"/>
  <cols>
    <col min="1" max="1" width="82.5703125" style="25" customWidth="1"/>
    <col min="2" max="6" width="8.7109375" style="25" customWidth="1"/>
    <col min="7" max="16384" width="8.85546875" style="25"/>
  </cols>
  <sheetData>
    <row r="1" spans="1:9" hidden="1" x14ac:dyDescent="0.2"/>
    <row r="2" spans="1:9" hidden="1" x14ac:dyDescent="0.2"/>
    <row r="3" spans="1:9" hidden="1" x14ac:dyDescent="0.2"/>
    <row r="4" spans="1:9" hidden="1" x14ac:dyDescent="0.2"/>
    <row r="5" spans="1:9" hidden="1" x14ac:dyDescent="0.2"/>
    <row r="6" spans="1:9" ht="16.149999999999999" hidden="1" customHeight="1" x14ac:dyDescent="0.2"/>
    <row r="7" spans="1:9" x14ac:dyDescent="0.2">
      <c r="A7" s="247" t="s">
        <v>386</v>
      </c>
      <c r="B7" s="248"/>
      <c r="C7" s="248"/>
      <c r="D7" s="248"/>
      <c r="E7" s="248"/>
      <c r="F7" s="248"/>
      <c r="G7" s="248"/>
      <c r="H7" s="248"/>
      <c r="I7" s="249"/>
    </row>
    <row r="8" spans="1:9" x14ac:dyDescent="0.2">
      <c r="A8" s="250" t="s">
        <v>282</v>
      </c>
      <c r="B8" s="248"/>
      <c r="C8" s="248"/>
      <c r="D8" s="248"/>
      <c r="E8" s="248"/>
      <c r="F8" s="248"/>
      <c r="G8" s="248"/>
      <c r="H8" s="248"/>
      <c r="I8" s="249"/>
    </row>
    <row r="9" spans="1:9" ht="21" customHeight="1" x14ac:dyDescent="0.2">
      <c r="A9" s="251" t="s">
        <v>279</v>
      </c>
      <c r="B9" s="252"/>
      <c r="C9" s="252"/>
      <c r="D9" s="252"/>
      <c r="E9" s="252"/>
      <c r="F9" s="252"/>
      <c r="G9" s="253"/>
      <c r="H9" s="253"/>
      <c r="I9" s="254"/>
    </row>
    <row r="10" spans="1:9" ht="25.5" customHeight="1" x14ac:dyDescent="0.2">
      <c r="A10" s="47" t="s">
        <v>141</v>
      </c>
      <c r="B10" s="47">
        <v>2025</v>
      </c>
      <c r="C10" s="47">
        <f>B10+1</f>
        <v>2026</v>
      </c>
      <c r="D10" s="47">
        <f>C10+1</f>
        <v>2027</v>
      </c>
      <c r="E10" s="47">
        <f>D10+1</f>
        <v>2028</v>
      </c>
      <c r="F10" s="47">
        <f>E10+1</f>
        <v>2029</v>
      </c>
      <c r="G10" s="26"/>
      <c r="H10" s="26"/>
      <c r="I10" s="26"/>
    </row>
    <row r="11" spans="1:9" ht="12.75" x14ac:dyDescent="0.2">
      <c r="A11" s="48" t="s">
        <v>356</v>
      </c>
      <c r="B11" s="51">
        <v>5.5E-2</v>
      </c>
      <c r="C11" s="51">
        <v>4.5699999999999998E-2</v>
      </c>
      <c r="D11" s="51">
        <v>4.02E-2</v>
      </c>
      <c r="E11" s="51">
        <v>3.8600000000000002E-2</v>
      </c>
      <c r="F11" s="51">
        <v>3.8300000000000001E-2</v>
      </c>
    </row>
    <row r="12" spans="1:9" ht="12.75" x14ac:dyDescent="0.2">
      <c r="A12" s="48" t="s">
        <v>30</v>
      </c>
      <c r="B12" s="51">
        <v>2.0299999999999999E-2</v>
      </c>
      <c r="C12" s="51">
        <v>1.7299999999999999E-2</v>
      </c>
      <c r="D12" s="51">
        <v>1.9400000000000001E-2</v>
      </c>
      <c r="E12" s="51">
        <v>2.0899999999999998E-2</v>
      </c>
      <c r="F12" s="51">
        <v>2.0500000000000001E-2</v>
      </c>
    </row>
    <row r="13" spans="1:9" ht="12.75" x14ac:dyDescent="0.2">
      <c r="A13" s="49" t="s">
        <v>31</v>
      </c>
      <c r="B13" s="51">
        <v>0.05</v>
      </c>
      <c r="C13" s="51">
        <v>0.05</v>
      </c>
      <c r="D13" s="51">
        <v>0.05</v>
      </c>
      <c r="E13" s="51">
        <v>0.02</v>
      </c>
      <c r="F13" s="51">
        <v>0.02</v>
      </c>
    </row>
    <row r="14" spans="1:9" ht="12.75" x14ac:dyDescent="0.2">
      <c r="A14" s="50" t="s">
        <v>148</v>
      </c>
      <c r="B14" s="51">
        <v>0.02</v>
      </c>
      <c r="C14" s="51">
        <v>0.02</v>
      </c>
      <c r="D14" s="51">
        <v>0.02</v>
      </c>
      <c r="E14" s="51">
        <v>0.02</v>
      </c>
      <c r="F14" s="51">
        <v>0.02</v>
      </c>
    </row>
    <row r="15" spans="1:9" ht="12.75" x14ac:dyDescent="0.2">
      <c r="A15" s="50" t="s">
        <v>152</v>
      </c>
      <c r="B15" s="51">
        <v>0.03</v>
      </c>
      <c r="C15" s="51">
        <v>0.03</v>
      </c>
      <c r="D15" s="51">
        <v>0.03</v>
      </c>
      <c r="E15" s="51">
        <v>0.03</v>
      </c>
      <c r="F15" s="51">
        <v>0.03</v>
      </c>
    </row>
    <row r="16" spans="1:9" ht="12.75" x14ac:dyDescent="0.2">
      <c r="A16" s="50" t="s">
        <v>354</v>
      </c>
      <c r="B16" s="51">
        <v>0.02</v>
      </c>
      <c r="C16" s="51">
        <v>0.02</v>
      </c>
      <c r="D16" s="51">
        <v>0.02</v>
      </c>
      <c r="E16" s="51">
        <v>0.02</v>
      </c>
      <c r="F16" s="51">
        <v>0.02</v>
      </c>
    </row>
    <row r="17" spans="1:6" ht="12.75" x14ac:dyDescent="0.2">
      <c r="A17" s="50" t="s">
        <v>355</v>
      </c>
      <c r="B17" s="51">
        <v>0.02</v>
      </c>
      <c r="C17" s="51">
        <v>0.02</v>
      </c>
      <c r="D17" s="51">
        <v>0.02</v>
      </c>
      <c r="E17" s="51">
        <v>0.02</v>
      </c>
      <c r="F17" s="51">
        <v>0.02</v>
      </c>
    </row>
    <row r="18" spans="1:6" ht="12.75" x14ac:dyDescent="0.2">
      <c r="A18" s="48" t="s">
        <v>149</v>
      </c>
      <c r="B18" s="51">
        <v>2.5399999999999999E-2</v>
      </c>
      <c r="C18" s="51">
        <v>0.01</v>
      </c>
      <c r="D18" s="51">
        <v>0.01</v>
      </c>
      <c r="E18" s="51">
        <v>0.01</v>
      </c>
      <c r="F18" s="51">
        <v>0.01</v>
      </c>
    </row>
    <row r="19" spans="1:6" ht="12.75" x14ac:dyDescent="0.2">
      <c r="A19" s="48" t="s">
        <v>150</v>
      </c>
      <c r="B19" s="51">
        <v>2.5399999999999999E-2</v>
      </c>
      <c r="C19" s="51">
        <v>0.01</v>
      </c>
      <c r="D19" s="51">
        <v>0.01</v>
      </c>
      <c r="E19" s="51">
        <v>0.01</v>
      </c>
      <c r="F19" s="51">
        <v>0.01</v>
      </c>
    </row>
    <row r="20" spans="1:6" ht="14.25" x14ac:dyDescent="0.2">
      <c r="A20" s="28"/>
      <c r="B20" s="9"/>
      <c r="C20" s="9"/>
      <c r="D20" s="9"/>
      <c r="E20" s="9"/>
      <c r="F20" s="9"/>
    </row>
    <row r="21" spans="1:6" x14ac:dyDescent="0.2">
      <c r="A21" s="245"/>
      <c r="B21" s="246"/>
      <c r="C21" s="246"/>
      <c r="D21" s="246"/>
      <c r="E21" s="246"/>
      <c r="F21" s="246"/>
    </row>
    <row r="22" spans="1:6" x14ac:dyDescent="0.2">
      <c r="A22" s="246"/>
      <c r="B22" s="246"/>
      <c r="C22" s="246"/>
      <c r="D22" s="246"/>
      <c r="E22" s="246"/>
      <c r="F22" s="246"/>
    </row>
    <row r="23" spans="1:6" x14ac:dyDescent="0.2">
      <c r="A23" s="246"/>
      <c r="B23" s="246"/>
      <c r="C23" s="246"/>
      <c r="D23" s="246"/>
      <c r="E23" s="246"/>
      <c r="F23" s="246"/>
    </row>
  </sheetData>
  <customSheetViews>
    <customSheetView guid="{16B3F100-CCE8-11D8-BD62-000C6E3CD3F1}" scale="75" showGridLines="0" hiddenRows="1" hiddenColumns="1" showRuler="0" topLeftCell="A7">
      <selection activeCell="B30" sqref="B30"/>
      <pageMargins left="0.78740157499999996" right="0.78740157499999996" top="0.984251969" bottom="0.984251969" header="0.49212598499999999" footer="0.49212598499999999"/>
      <pageSetup orientation="portrait" horizontalDpi="300" r:id="rId1"/>
      <headerFooter alignWithMargins="0"/>
    </customSheetView>
  </customSheetViews>
  <mergeCells count="4">
    <mergeCell ref="A21:F23"/>
    <mergeCell ref="A7:I7"/>
    <mergeCell ref="A8:I8"/>
    <mergeCell ref="A9:I9"/>
  </mergeCells>
  <phoneticPr fontId="22" type="noConversion"/>
  <printOptions gridLines="1"/>
  <pageMargins left="0" right="0" top="0.39370078740157483" bottom="0.19685039370078741" header="0.51181102362204722" footer="0.51181102362204722"/>
  <pageSetup paperSize="9" scale="70" orientation="landscape" horizontalDpi="300" verticalDpi="300" r:id="rId2"/>
  <headerFooter alignWithMargins="0"/>
  <colBreaks count="1" manualBreakCount="1">
    <brk id="7" max="1048575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A9A30-1057-429E-B7B3-5C96DD4B8D66}">
  <sheetPr codeName="Plan3">
    <pageSetUpPr fitToPage="1"/>
  </sheetPr>
  <dimension ref="A1:FU349"/>
  <sheetViews>
    <sheetView zoomScale="75" zoomScaleNormal="75" zoomScaleSheetLayoutView="30" workbookViewId="0">
      <selection activeCell="I191" sqref="A1:I191"/>
    </sheetView>
  </sheetViews>
  <sheetFormatPr defaultColWidth="19.140625" defaultRowHeight="15.75" x14ac:dyDescent="0.25"/>
  <cols>
    <col min="1" max="1" width="27.7109375" style="3" customWidth="1"/>
    <col min="2" max="2" width="68.7109375" style="3" customWidth="1"/>
    <col min="3" max="8" width="21.140625" style="3" bestFit="1" customWidth="1"/>
    <col min="9" max="9" width="23.7109375" style="3" bestFit="1" customWidth="1"/>
    <col min="10" max="16384" width="19.140625" style="3"/>
  </cols>
  <sheetData>
    <row r="1" spans="1:177" s="1" customFormat="1" ht="17.649999999999999" customHeight="1" x14ac:dyDescent="0.25">
      <c r="A1" s="255" t="str">
        <f>Parâmetros!A7</f>
        <v>Município de Arroio do Padre / RS</v>
      </c>
      <c r="B1" s="256"/>
      <c r="C1" s="256"/>
      <c r="D1" s="256"/>
      <c r="E1" s="256"/>
      <c r="F1" s="256"/>
      <c r="G1" s="256"/>
      <c r="H1" s="256"/>
      <c r="I1" s="256"/>
    </row>
    <row r="2" spans="1:177" s="1" customFormat="1" ht="30" customHeight="1" x14ac:dyDescent="0.25">
      <c r="A2" s="257" t="str">
        <f>Parâmetros!A8</f>
        <v>PLANO PLURIANUAL 2026 - 2029</v>
      </c>
      <c r="B2" s="256"/>
      <c r="C2" s="256"/>
      <c r="D2" s="256"/>
      <c r="E2" s="256"/>
      <c r="F2" s="256"/>
      <c r="G2" s="256"/>
      <c r="H2" s="256"/>
      <c r="I2" s="256"/>
    </row>
    <row r="3" spans="1:177" s="1" customFormat="1" ht="19.5" customHeight="1" x14ac:dyDescent="0.25">
      <c r="A3" s="258" t="s">
        <v>404</v>
      </c>
      <c r="B3" s="259"/>
      <c r="C3" s="259"/>
      <c r="D3" s="259"/>
      <c r="E3" s="259"/>
      <c r="F3" s="259"/>
      <c r="G3" s="259"/>
      <c r="H3" s="259"/>
      <c r="I3" s="259"/>
    </row>
    <row r="4" spans="1:177" s="1" customFormat="1" hidden="1" x14ac:dyDescent="0.25">
      <c r="A4" s="10"/>
      <c r="B4" s="11"/>
      <c r="C4" s="11"/>
      <c r="D4" s="11"/>
      <c r="E4" s="11"/>
      <c r="F4" s="11"/>
      <c r="G4" s="11"/>
      <c r="H4" s="11"/>
      <c r="I4" s="11"/>
    </row>
    <row r="5" spans="1:177" s="1" customFormat="1" x14ac:dyDescent="0.25">
      <c r="A5" s="12"/>
      <c r="B5" s="13"/>
      <c r="C5" s="13"/>
      <c r="D5" s="13"/>
      <c r="E5" s="13"/>
      <c r="F5" s="13"/>
      <c r="G5" s="13"/>
      <c r="H5" s="13"/>
      <c r="I5" s="14" t="s">
        <v>28</v>
      </c>
    </row>
    <row r="6" spans="1:177" s="1" customFormat="1" x14ac:dyDescent="0.25">
      <c r="A6" s="188"/>
      <c r="B6" s="129" t="s">
        <v>0</v>
      </c>
      <c r="C6" s="138" t="s">
        <v>32</v>
      </c>
      <c r="D6" s="138" t="s">
        <v>32</v>
      </c>
      <c r="E6" s="138" t="s">
        <v>280</v>
      </c>
      <c r="F6" s="139" t="s">
        <v>5</v>
      </c>
      <c r="G6" s="139" t="s">
        <v>5</v>
      </c>
      <c r="H6" s="140" t="s">
        <v>5</v>
      </c>
      <c r="I6" s="141" t="s">
        <v>5</v>
      </c>
    </row>
    <row r="7" spans="1:177" s="1" customFormat="1" ht="27.75" customHeight="1" x14ac:dyDescent="0.25">
      <c r="A7" s="189"/>
      <c r="B7" s="130" t="s">
        <v>3</v>
      </c>
      <c r="C7" s="142">
        <v>2023</v>
      </c>
      <c r="D7" s="143">
        <f t="shared" ref="D7:I7" si="0">C7+1</f>
        <v>2024</v>
      </c>
      <c r="E7" s="143">
        <f t="shared" si="0"/>
        <v>2025</v>
      </c>
      <c r="F7" s="143">
        <f t="shared" si="0"/>
        <v>2026</v>
      </c>
      <c r="G7" s="143">
        <f t="shared" si="0"/>
        <v>2027</v>
      </c>
      <c r="H7" s="143">
        <f t="shared" si="0"/>
        <v>2028</v>
      </c>
      <c r="I7" s="143">
        <f t="shared" si="0"/>
        <v>2029</v>
      </c>
    </row>
    <row r="8" spans="1:177" s="33" customFormat="1" ht="17.45" customHeight="1" x14ac:dyDescent="0.35">
      <c r="A8" s="190" t="s">
        <v>33</v>
      </c>
      <c r="B8" s="131" t="s">
        <v>34</v>
      </c>
      <c r="C8" s="144">
        <f t="shared" ref="C8:I8" si="1">C9+C10+C11+C12+C19+C33+C34+C35+C36+C73</f>
        <v>27985356.5</v>
      </c>
      <c r="D8" s="144">
        <f t="shared" si="1"/>
        <v>31600971.260000005</v>
      </c>
      <c r="E8" s="144">
        <f t="shared" si="1"/>
        <v>33668285</v>
      </c>
      <c r="F8" s="144">
        <f t="shared" si="1"/>
        <v>34485205.332002826</v>
      </c>
      <c r="G8" s="144">
        <f t="shared" si="1"/>
        <v>36395770.593811505</v>
      </c>
      <c r="H8" s="144">
        <f t="shared" si="1"/>
        <v>38385161.608663395</v>
      </c>
      <c r="I8" s="144">
        <f t="shared" si="1"/>
        <v>40479615.159398682</v>
      </c>
    </row>
    <row r="9" spans="1:177" s="6" customFormat="1" ht="15" x14ac:dyDescent="0.2">
      <c r="A9" s="191" t="s">
        <v>35</v>
      </c>
      <c r="B9" s="133" t="s">
        <v>284</v>
      </c>
      <c r="C9" s="31">
        <f>856656.26-1479.63</f>
        <v>855176.63</v>
      </c>
      <c r="D9" s="31">
        <f>963547.46-30.33</f>
        <v>963517.13</v>
      </c>
      <c r="E9" s="31">
        <v>990000</v>
      </c>
      <c r="F9" s="146">
        <f>((C9+D9+E9)/3)*(1+Parâmetros!C11)*(1+Parâmetros!C15)+100000</f>
        <v>1108387.5322589867</v>
      </c>
      <c r="G9" s="146">
        <f>((F9)*(1+Parâmetros!D11)*(1+Parâmetros!D15))</f>
        <v>1187533.052387472</v>
      </c>
      <c r="H9" s="146">
        <f>((G9)*(1+Parâmetros!E11)*(1+Parâmetros!E15))</f>
        <v>1270372.9830559173</v>
      </c>
      <c r="I9" s="146">
        <f>((H9)*(1+Parâmetros!F11)*(1+Parâmetros!F15))</f>
        <v>1358599.1163561677</v>
      </c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  <c r="FF9" s="41"/>
      <c r="FG9" s="41"/>
      <c r="FH9" s="41"/>
      <c r="FI9" s="41"/>
      <c r="FJ9" s="41"/>
      <c r="FK9" s="41"/>
      <c r="FL9" s="41"/>
      <c r="FM9" s="41"/>
      <c r="FN9" s="41"/>
      <c r="FO9" s="41"/>
      <c r="FP9" s="41"/>
      <c r="FQ9" s="41"/>
      <c r="FR9" s="41"/>
      <c r="FS9" s="41"/>
      <c r="FT9" s="41"/>
      <c r="FU9" s="41"/>
    </row>
    <row r="10" spans="1:177" s="6" customFormat="1" ht="23.25" customHeight="1" x14ac:dyDescent="0.2">
      <c r="A10" s="191" t="s">
        <v>36</v>
      </c>
      <c r="B10" s="133" t="s">
        <v>37</v>
      </c>
      <c r="C10" s="31">
        <v>104851.63</v>
      </c>
      <c r="D10" s="31">
        <f>115140.48-43.37</f>
        <v>115097.11</v>
      </c>
      <c r="E10" s="31">
        <v>126000</v>
      </c>
      <c r="F10" s="146">
        <f>((C10+D10+E10)/3)*(1+Parâmetros!C11)*(1+Parâmetros!C15)+15000</f>
        <v>139203.78511351335</v>
      </c>
      <c r="G10" s="146">
        <f>((F10)*(1+Parâmetros!D11)*(1+Parâmetros!D15))</f>
        <v>149143.7705933289</v>
      </c>
      <c r="H10" s="146">
        <f>((G10)*(1+Parâmetros!E11)*(1+Parâmetros!E15))</f>
        <v>159547.74174237833</v>
      </c>
      <c r="I10" s="146">
        <f>((H10)*(1+Parâmetros!F11)*(1+Parâmetros!F15))</f>
        <v>170628.17285864477</v>
      </c>
      <c r="J10" s="41"/>
      <c r="K10" s="219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</row>
    <row r="11" spans="1:177" s="6" customFormat="1" ht="15" x14ac:dyDescent="0.2">
      <c r="A11" s="191" t="s">
        <v>38</v>
      </c>
      <c r="B11" s="133" t="s">
        <v>39</v>
      </c>
      <c r="C11" s="31"/>
      <c r="D11" s="31"/>
      <c r="E11" s="31"/>
      <c r="F11" s="146">
        <f>((C11+D11+E11)/3)*(1+Parâmetros!C11)*(1+Parâmetros!C15)</f>
        <v>0</v>
      </c>
      <c r="G11" s="146">
        <f>((D11+E11+F11)/3)*(1+Parâmetros!D11)*(1+Parâmetros!D15)</f>
        <v>0</v>
      </c>
      <c r="H11" s="146">
        <f>((E11+F11+G11)/3)*(1+Parâmetros!E11)*(1+Parâmetros!E15)</f>
        <v>0</v>
      </c>
      <c r="I11" s="146">
        <f>((F11+G11+H11)/3)*(1+Parâmetros!F11)*(1+Parâmetros!F15)</f>
        <v>0</v>
      </c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  <c r="EC11" s="41"/>
      <c r="ED11" s="41"/>
      <c r="EE11" s="41"/>
      <c r="EF11" s="41"/>
      <c r="EG11" s="41"/>
      <c r="EH11" s="41"/>
      <c r="EI11" s="41"/>
      <c r="EJ11" s="41"/>
      <c r="EK11" s="41"/>
      <c r="EL11" s="41"/>
      <c r="EM11" s="41"/>
      <c r="EN11" s="41"/>
      <c r="EO11" s="41"/>
      <c r="EP11" s="41"/>
      <c r="EQ11" s="41"/>
      <c r="ER11" s="41"/>
      <c r="ES11" s="41"/>
      <c r="ET11" s="41"/>
      <c r="EU11" s="41"/>
      <c r="EV11" s="41"/>
      <c r="EW11" s="41"/>
      <c r="EX11" s="41"/>
      <c r="EY11" s="41"/>
      <c r="EZ11" s="41"/>
      <c r="FA11" s="41"/>
      <c r="FB11" s="41"/>
      <c r="FC11" s="41"/>
      <c r="FD11" s="41"/>
      <c r="FE11" s="41"/>
      <c r="FF11" s="41"/>
      <c r="FG11" s="41"/>
      <c r="FH11" s="41"/>
      <c r="FI11" s="41"/>
      <c r="FJ11" s="41"/>
      <c r="FK11" s="41"/>
      <c r="FL11" s="41"/>
      <c r="FM11" s="41"/>
      <c r="FN11" s="41"/>
      <c r="FO11" s="41"/>
      <c r="FP11" s="41"/>
      <c r="FQ11" s="41"/>
      <c r="FR11" s="41"/>
      <c r="FS11" s="41"/>
      <c r="FT11" s="41"/>
      <c r="FU11" s="41"/>
    </row>
    <row r="12" spans="1:177" customFormat="1" x14ac:dyDescent="0.2">
      <c r="A12" s="192" t="s">
        <v>40</v>
      </c>
      <c r="B12" s="132" t="s">
        <v>41</v>
      </c>
      <c r="C12" s="145">
        <f t="shared" ref="C12:I12" si="2">C13+C17+C18</f>
        <v>0</v>
      </c>
      <c r="D12" s="145">
        <f t="shared" si="2"/>
        <v>0</v>
      </c>
      <c r="E12" s="145">
        <f t="shared" si="2"/>
        <v>0</v>
      </c>
      <c r="F12" s="145">
        <f t="shared" si="2"/>
        <v>0</v>
      </c>
      <c r="G12" s="145">
        <f t="shared" si="2"/>
        <v>0</v>
      </c>
      <c r="H12" s="145">
        <f t="shared" si="2"/>
        <v>0</v>
      </c>
      <c r="I12" s="145">
        <f t="shared" si="2"/>
        <v>0</v>
      </c>
    </row>
    <row r="13" spans="1:177" customFormat="1" x14ac:dyDescent="0.2">
      <c r="A13" s="192" t="s">
        <v>42</v>
      </c>
      <c r="B13" s="132" t="s">
        <v>43</v>
      </c>
      <c r="C13" s="145">
        <f t="shared" ref="C13:I13" si="3">C14+C15+C16</f>
        <v>0</v>
      </c>
      <c r="D13" s="145">
        <f t="shared" si="3"/>
        <v>0</v>
      </c>
      <c r="E13" s="145">
        <f t="shared" si="3"/>
        <v>0</v>
      </c>
      <c r="F13" s="145">
        <f t="shared" si="3"/>
        <v>0</v>
      </c>
      <c r="G13" s="145">
        <f t="shared" si="3"/>
        <v>0</v>
      </c>
      <c r="H13" s="145">
        <f t="shared" si="3"/>
        <v>0</v>
      </c>
      <c r="I13" s="145">
        <f t="shared" si="3"/>
        <v>0</v>
      </c>
    </row>
    <row r="14" spans="1:177" customFormat="1" ht="25.5" x14ac:dyDescent="0.2">
      <c r="A14" s="191" t="s">
        <v>285</v>
      </c>
      <c r="B14" s="133" t="s">
        <v>126</v>
      </c>
      <c r="C14" s="31"/>
      <c r="D14" s="31"/>
      <c r="E14" s="31"/>
      <c r="F14" s="146">
        <f>((C14+D14+E14)/3)*(1+Parâmetros!C11)*(1+Parâmetros!C13)*(1+Parâmetros!C18)</f>
        <v>0</v>
      </c>
      <c r="G14" s="146">
        <f>((D14+E14+F14)/3)*(1+Parâmetros!D11)*(1+Parâmetros!D13)*(1+Parâmetros!D18)</f>
        <v>0</v>
      </c>
      <c r="H14" s="146">
        <f>((E14+F14+G14)/3)*(1+Parâmetros!E11)*(1+Parâmetros!E13)*(1+Parâmetros!E18)</f>
        <v>0</v>
      </c>
      <c r="I14" s="146">
        <f>((F14+G14+H14)/3)*(1+Parâmetros!F11)*(1+Parâmetros!F13)*(1+Parâmetros!F18)</f>
        <v>0</v>
      </c>
    </row>
    <row r="15" spans="1:177" customFormat="1" ht="15" x14ac:dyDescent="0.2">
      <c r="A15" s="191" t="s">
        <v>286</v>
      </c>
      <c r="B15" s="133" t="s">
        <v>44</v>
      </c>
      <c r="C15" s="31">
        <v>0</v>
      </c>
      <c r="D15" s="31">
        <v>0</v>
      </c>
      <c r="E15" s="31">
        <v>0</v>
      </c>
      <c r="F15" s="146">
        <f>((C15+D15+E15)/3)*(1+Parâmetros!C11)*(1+Parâmetros!C13)*(1+Parâmetros!C18)</f>
        <v>0</v>
      </c>
      <c r="G15" s="146">
        <f>((D15+E15+F15)/3)*(1+Parâmetros!D11)*(1+Parâmetros!D13)*(1+Parâmetros!D18)</f>
        <v>0</v>
      </c>
      <c r="H15" s="146">
        <f>((E15+F15+G15)/3)*(1+Parâmetros!E11)*(1+Parâmetros!E13)*(1+Parâmetros!E18)</f>
        <v>0</v>
      </c>
      <c r="I15" s="146">
        <f>((F15+G15+H15)/3)*(1+Parâmetros!F11)*(1+Parâmetros!F13)*(1+Parâmetros!F18)</f>
        <v>0</v>
      </c>
    </row>
    <row r="16" spans="1:177" customFormat="1" ht="15" x14ac:dyDescent="0.2">
      <c r="A16" s="191" t="s">
        <v>45</v>
      </c>
      <c r="B16" s="133" t="s">
        <v>46</v>
      </c>
      <c r="C16" s="31"/>
      <c r="D16" s="31"/>
      <c r="E16" s="31"/>
      <c r="F16" s="146">
        <f>((C16+D16+E16)/3)*(1+Parâmetros!C11)</f>
        <v>0</v>
      </c>
      <c r="G16" s="146">
        <f>((D16+E16+F16)/3)*(1+Parâmetros!D11)</f>
        <v>0</v>
      </c>
      <c r="H16" s="146">
        <f>((E16+F16+G16)/3)*(1+Parâmetros!E11)</f>
        <v>0</v>
      </c>
      <c r="I16" s="146">
        <f>((F16+G16+H16)/3)*(1+Parâmetros!F11)</f>
        <v>0</v>
      </c>
    </row>
    <row r="17" spans="1:177" s="6" customFormat="1" ht="15" x14ac:dyDescent="0.2">
      <c r="A17" s="191" t="s">
        <v>47</v>
      </c>
      <c r="B17" s="133" t="s">
        <v>48</v>
      </c>
      <c r="C17" s="31"/>
      <c r="D17" s="31"/>
      <c r="E17" s="31"/>
      <c r="F17" s="146">
        <f>((C17+D17+E17)/3)*(1+Parâmetros!C11)</f>
        <v>0</v>
      </c>
      <c r="G17" s="146">
        <f>((D17+E17+F17)/3)*(1+Parâmetros!D11)</f>
        <v>0</v>
      </c>
      <c r="H17" s="146">
        <f>((E17+F17+G17)/3)*(1+Parâmetros!E11)</f>
        <v>0</v>
      </c>
      <c r="I17" s="146">
        <f>((F17+G17+H17)/3)*(1+Parâmetros!F11)</f>
        <v>0</v>
      </c>
      <c r="J17" s="41"/>
      <c r="K17" s="41"/>
      <c r="L17" s="219"/>
      <c r="M17" s="219"/>
      <c r="N17" s="219"/>
      <c r="O17" s="219"/>
      <c r="P17" s="219"/>
      <c r="Q17" s="219"/>
      <c r="R17" s="219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1"/>
      <c r="CV17" s="41"/>
      <c r="CW17" s="41"/>
      <c r="CX17" s="41"/>
      <c r="CY17" s="41"/>
      <c r="CZ17" s="41"/>
      <c r="DA17" s="41"/>
      <c r="DB17" s="41"/>
      <c r="DC17" s="41"/>
      <c r="DD17" s="41"/>
      <c r="DE17" s="41"/>
      <c r="DF17" s="41"/>
      <c r="DG17" s="41"/>
      <c r="DH17" s="41"/>
      <c r="DI17" s="41"/>
      <c r="DJ17" s="41"/>
      <c r="DK17" s="41"/>
      <c r="DL17" s="41"/>
      <c r="DM17" s="41"/>
      <c r="DN17" s="41"/>
      <c r="DO17" s="41"/>
      <c r="DP17" s="41"/>
      <c r="DQ17" s="41"/>
      <c r="DR17" s="41"/>
      <c r="DS17" s="41"/>
      <c r="DT17" s="41"/>
      <c r="DU17" s="41"/>
      <c r="DV17" s="41"/>
      <c r="DW17" s="41"/>
      <c r="DX17" s="41"/>
      <c r="DY17" s="41"/>
      <c r="DZ17" s="41"/>
      <c r="EA17" s="41"/>
      <c r="EB17" s="41"/>
      <c r="EC17" s="41"/>
      <c r="ED17" s="41"/>
      <c r="EE17" s="41"/>
      <c r="EF17" s="41"/>
      <c r="EG17" s="41"/>
      <c r="EH17" s="41"/>
      <c r="EI17" s="41"/>
      <c r="EJ17" s="41"/>
      <c r="EK17" s="41"/>
      <c r="EL17" s="41"/>
      <c r="EM17" s="41"/>
      <c r="EN17" s="41"/>
      <c r="EO17" s="41"/>
      <c r="EP17" s="41"/>
      <c r="EQ17" s="41"/>
      <c r="ER17" s="41"/>
      <c r="ES17" s="41"/>
      <c r="ET17" s="41"/>
      <c r="EU17" s="41"/>
      <c r="EV17" s="41"/>
      <c r="EW17" s="41"/>
      <c r="EX17" s="41"/>
      <c r="EY17" s="41"/>
      <c r="EZ17" s="41"/>
      <c r="FA17" s="41"/>
      <c r="FB17" s="41"/>
      <c r="FC17" s="41"/>
      <c r="FD17" s="41"/>
      <c r="FE17" s="41"/>
      <c r="FF17" s="41"/>
      <c r="FG17" s="41"/>
      <c r="FH17" s="41"/>
      <c r="FI17" s="41"/>
      <c r="FJ17" s="41"/>
      <c r="FK17" s="41"/>
      <c r="FL17" s="41"/>
      <c r="FM17" s="41"/>
      <c r="FN17" s="41"/>
      <c r="FO17" s="41"/>
      <c r="FP17" s="41"/>
      <c r="FQ17" s="41"/>
      <c r="FR17" s="41"/>
      <c r="FS17" s="41"/>
      <c r="FT17" s="41"/>
      <c r="FU17" s="41"/>
    </row>
    <row r="18" spans="1:177" s="6" customFormat="1" ht="15" x14ac:dyDescent="0.2">
      <c r="A18" s="191" t="s">
        <v>49</v>
      </c>
      <c r="B18" s="133" t="s">
        <v>50</v>
      </c>
      <c r="C18" s="31"/>
      <c r="D18" s="31"/>
      <c r="E18" s="31"/>
      <c r="F18" s="146">
        <f>((C18+D18+E18)/3)*(1+Parâmetros!C11)*(1+Parâmetros!C12)</f>
        <v>0</v>
      </c>
      <c r="G18" s="146">
        <f>((D18+E18+F18)/3)*(1+Parâmetros!D11)*(1+Parâmetros!D12)</f>
        <v>0</v>
      </c>
      <c r="H18" s="146">
        <f>((E18+F18+G18)/3)*(1+Parâmetros!E11)*(1+Parâmetros!E12)</f>
        <v>0</v>
      </c>
      <c r="I18" s="146">
        <f>((F18+G18+H18)/3)*(1+Parâmetros!F11)*(1+Parâmetros!F12)</f>
        <v>0</v>
      </c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41"/>
      <c r="CP18" s="41"/>
      <c r="CQ18" s="41"/>
      <c r="CR18" s="41"/>
      <c r="CS18" s="41"/>
      <c r="CT18" s="41"/>
      <c r="CU18" s="41"/>
      <c r="CV18" s="41"/>
      <c r="CW18" s="41"/>
      <c r="CX18" s="41"/>
      <c r="CY18" s="41"/>
      <c r="CZ18" s="41"/>
      <c r="DA18" s="41"/>
      <c r="DB18" s="41"/>
      <c r="DC18" s="41"/>
      <c r="DD18" s="41"/>
      <c r="DE18" s="41"/>
      <c r="DF18" s="41"/>
      <c r="DG18" s="41"/>
      <c r="DH18" s="41"/>
      <c r="DI18" s="41"/>
      <c r="DJ18" s="41"/>
      <c r="DK18" s="41"/>
      <c r="DL18" s="41"/>
      <c r="DM18" s="41"/>
      <c r="DN18" s="41"/>
      <c r="DO18" s="41"/>
      <c r="DP18" s="41"/>
      <c r="DQ18" s="41"/>
      <c r="DR18" s="41"/>
      <c r="DS18" s="41"/>
      <c r="DT18" s="41"/>
      <c r="DU18" s="41"/>
      <c r="DV18" s="41"/>
      <c r="DW18" s="41"/>
      <c r="DX18" s="41"/>
      <c r="DY18" s="41"/>
      <c r="DZ18" s="41"/>
      <c r="EA18" s="41"/>
      <c r="EB18" s="41"/>
      <c r="EC18" s="41"/>
      <c r="ED18" s="41"/>
      <c r="EE18" s="41"/>
      <c r="EF18" s="41"/>
      <c r="EG18" s="41"/>
      <c r="EH18" s="41"/>
      <c r="EI18" s="41"/>
      <c r="EJ18" s="41"/>
      <c r="EK18" s="41"/>
      <c r="EL18" s="41"/>
      <c r="EM18" s="41"/>
      <c r="EN18" s="41"/>
      <c r="EO18" s="41"/>
      <c r="EP18" s="41"/>
      <c r="EQ18" s="41"/>
      <c r="ER18" s="41"/>
      <c r="ES18" s="41"/>
      <c r="ET18" s="41"/>
      <c r="EU18" s="41"/>
      <c r="EV18" s="41"/>
      <c r="EW18" s="41"/>
      <c r="EX18" s="41"/>
      <c r="EY18" s="41"/>
      <c r="EZ18" s="41"/>
      <c r="FA18" s="41"/>
      <c r="FB18" s="41"/>
      <c r="FC18" s="41"/>
      <c r="FD18" s="41"/>
      <c r="FE18" s="41"/>
      <c r="FF18" s="41"/>
      <c r="FG18" s="41"/>
      <c r="FH18" s="41"/>
      <c r="FI18" s="41"/>
      <c r="FJ18" s="41"/>
      <c r="FK18" s="41"/>
      <c r="FL18" s="41"/>
      <c r="FM18" s="41"/>
      <c r="FN18" s="41"/>
      <c r="FO18" s="41"/>
      <c r="FP18" s="41"/>
      <c r="FQ18" s="41"/>
      <c r="FR18" s="41"/>
      <c r="FS18" s="41"/>
      <c r="FT18" s="41"/>
      <c r="FU18" s="41"/>
    </row>
    <row r="19" spans="1:177" s="6" customFormat="1" x14ac:dyDescent="0.2">
      <c r="A19" s="192" t="s">
        <v>51</v>
      </c>
      <c r="B19" s="132" t="s">
        <v>52</v>
      </c>
      <c r="C19" s="145">
        <f t="shared" ref="C19:I19" si="4">C20+C21+C30+C31+C32</f>
        <v>1205112.2999999998</v>
      </c>
      <c r="D19" s="145">
        <f t="shared" si="4"/>
        <v>1191745.8099999998</v>
      </c>
      <c r="E19" s="145">
        <f t="shared" si="4"/>
        <v>1286000</v>
      </c>
      <c r="F19" s="145">
        <f t="shared" si="4"/>
        <v>1315996.8452090002</v>
      </c>
      <c r="G19" s="145">
        <f t="shared" si="4"/>
        <v>1372915.80816514</v>
      </c>
      <c r="H19" s="145">
        <f t="shared" si="4"/>
        <v>1449534.1132770716</v>
      </c>
      <c r="I19" s="145">
        <f t="shared" si="4"/>
        <v>1530904.9438667407</v>
      </c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  <c r="CU19" s="41"/>
      <c r="CV19" s="41"/>
      <c r="CW19" s="41"/>
      <c r="CX19" s="41"/>
      <c r="CY19" s="41"/>
      <c r="CZ19" s="41"/>
      <c r="DA19" s="41"/>
      <c r="DB19" s="41"/>
      <c r="DC19" s="41"/>
      <c r="DD19" s="41"/>
      <c r="DE19" s="41"/>
      <c r="DF19" s="41"/>
      <c r="DG19" s="41"/>
      <c r="DH19" s="41"/>
      <c r="DI19" s="41"/>
      <c r="DJ19" s="41"/>
      <c r="DK19" s="41"/>
      <c r="DL19" s="41"/>
      <c r="DM19" s="41"/>
      <c r="DN19" s="41"/>
      <c r="DO19" s="41"/>
      <c r="DP19" s="41"/>
      <c r="DQ19" s="41"/>
      <c r="DR19" s="41"/>
      <c r="DS19" s="41"/>
      <c r="DT19" s="41"/>
      <c r="DU19" s="41"/>
      <c r="DV19" s="41"/>
      <c r="DW19" s="41"/>
      <c r="DX19" s="41"/>
      <c r="DY19" s="41"/>
      <c r="DZ19" s="41"/>
      <c r="EA19" s="41"/>
      <c r="EB19" s="41"/>
      <c r="EC19" s="41"/>
      <c r="ED19" s="41"/>
      <c r="EE19" s="41"/>
      <c r="EF19" s="41"/>
      <c r="EG19" s="41"/>
      <c r="EH19" s="41"/>
      <c r="EI19" s="41"/>
      <c r="EJ19" s="41"/>
      <c r="EK19" s="41"/>
      <c r="EL19" s="41"/>
      <c r="EM19" s="41"/>
      <c r="EN19" s="41"/>
      <c r="EO19" s="41"/>
      <c r="EP19" s="41"/>
      <c r="EQ19" s="41"/>
      <c r="ER19" s="41"/>
      <c r="ES19" s="41"/>
      <c r="ET19" s="41"/>
      <c r="EU19" s="41"/>
      <c r="EV19" s="41"/>
      <c r="EW19" s="41"/>
      <c r="EX19" s="41"/>
      <c r="EY19" s="41"/>
      <c r="EZ19" s="41"/>
      <c r="FA19" s="41"/>
      <c r="FB19" s="41"/>
      <c r="FC19" s="41"/>
      <c r="FD19" s="41"/>
      <c r="FE19" s="41"/>
      <c r="FF19" s="41"/>
      <c r="FG19" s="41"/>
      <c r="FH19" s="41"/>
      <c r="FI19" s="41"/>
      <c r="FJ19" s="41"/>
      <c r="FK19" s="41"/>
      <c r="FL19" s="41"/>
      <c r="FM19" s="41"/>
      <c r="FN19" s="41"/>
      <c r="FO19" s="41"/>
      <c r="FP19" s="41"/>
      <c r="FQ19" s="41"/>
      <c r="FR19" s="41"/>
      <c r="FS19" s="41"/>
      <c r="FT19" s="41"/>
      <c r="FU19" s="41"/>
    </row>
    <row r="20" spans="1:177" s="6" customFormat="1" ht="15" x14ac:dyDescent="0.2">
      <c r="A20" s="191" t="s">
        <v>53</v>
      </c>
      <c r="B20" s="133" t="s">
        <v>151</v>
      </c>
      <c r="C20" s="31">
        <f>8116.19-151.48</f>
        <v>7964.71</v>
      </c>
      <c r="D20" s="31">
        <v>10693.18</v>
      </c>
      <c r="E20" s="31">
        <v>11000</v>
      </c>
      <c r="F20" s="146">
        <f>((C20+D20+E20)/3)*(1+Parâmetros!C11)+2000</f>
        <v>12337.751857666668</v>
      </c>
      <c r="G20" s="146">
        <f>((F20)*(1+Parâmetros!D11))</f>
        <v>12833.729482344868</v>
      </c>
      <c r="H20" s="146">
        <f>((G20)*(1+Parâmetros!E11))</f>
        <v>13329.11144036338</v>
      </c>
      <c r="I20" s="146">
        <f>((H20)*(1+Parâmetros!F11))</f>
        <v>13839.616408529297</v>
      </c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P20" s="41"/>
      <c r="CQ20" s="41"/>
      <c r="CR20" s="41"/>
      <c r="CS20" s="41"/>
      <c r="CT20" s="41"/>
      <c r="CU20" s="41"/>
      <c r="CV20" s="41"/>
      <c r="CW20" s="41"/>
      <c r="CX20" s="41"/>
      <c r="CY20" s="41"/>
      <c r="CZ20" s="41"/>
      <c r="DA20" s="41"/>
      <c r="DB20" s="41"/>
      <c r="DC20" s="41"/>
      <c r="DD20" s="41"/>
      <c r="DE20" s="41"/>
      <c r="DF20" s="41"/>
      <c r="DG20" s="41"/>
      <c r="DH20" s="41"/>
      <c r="DI20" s="41"/>
      <c r="DJ20" s="41"/>
      <c r="DK20" s="41"/>
      <c r="DL20" s="41"/>
      <c r="DM20" s="41"/>
      <c r="DN20" s="41"/>
      <c r="DO20" s="41"/>
      <c r="DP20" s="41"/>
      <c r="DQ20" s="41"/>
      <c r="DR20" s="41"/>
      <c r="DS20" s="41"/>
      <c r="DT20" s="41"/>
      <c r="DU20" s="41"/>
      <c r="DV20" s="41"/>
      <c r="DW20" s="41"/>
      <c r="DX20" s="41"/>
      <c r="DY20" s="41"/>
      <c r="DZ20" s="41"/>
      <c r="EA20" s="41"/>
      <c r="EB20" s="41"/>
      <c r="EC20" s="41"/>
      <c r="ED20" s="41"/>
      <c r="EE20" s="41"/>
      <c r="EF20" s="41"/>
      <c r="EG20" s="41"/>
      <c r="EH20" s="41"/>
      <c r="EI20" s="41"/>
      <c r="EJ20" s="41"/>
      <c r="EK20" s="41"/>
      <c r="EL20" s="41"/>
      <c r="EM20" s="41"/>
      <c r="EN20" s="41"/>
      <c r="EO20" s="41"/>
      <c r="EP20" s="41"/>
      <c r="EQ20" s="41"/>
      <c r="ER20" s="41"/>
      <c r="ES20" s="41"/>
      <c r="ET20" s="41"/>
      <c r="EU20" s="41"/>
      <c r="EV20" s="41"/>
      <c r="EW20" s="41"/>
      <c r="EX20" s="41"/>
      <c r="EY20" s="41"/>
      <c r="EZ20" s="41"/>
      <c r="FA20" s="41"/>
      <c r="FB20" s="41"/>
      <c r="FC20" s="41"/>
      <c r="FD20" s="41"/>
      <c r="FE20" s="41"/>
      <c r="FF20" s="41"/>
      <c r="FG20" s="41"/>
      <c r="FH20" s="41"/>
      <c r="FI20" s="41"/>
      <c r="FJ20" s="41"/>
      <c r="FK20" s="41"/>
      <c r="FL20" s="41"/>
      <c r="FM20" s="41"/>
      <c r="FN20" s="41"/>
      <c r="FO20" s="41"/>
      <c r="FP20" s="41"/>
      <c r="FQ20" s="41"/>
      <c r="FR20" s="41"/>
      <c r="FS20" s="41"/>
      <c r="FT20" s="41"/>
      <c r="FU20" s="41"/>
    </row>
    <row r="21" spans="1:177" s="32" customFormat="1" x14ac:dyDescent="0.25">
      <c r="A21" s="192" t="s">
        <v>54</v>
      </c>
      <c r="B21" s="132" t="s">
        <v>55</v>
      </c>
      <c r="C21" s="145">
        <f t="shared" ref="C21:I21" si="5">SUM(C22:C29)</f>
        <v>1197147.5899999999</v>
      </c>
      <c r="D21" s="145">
        <f t="shared" si="5"/>
        <v>1181052.6299999999</v>
      </c>
      <c r="E21" s="145">
        <f t="shared" si="5"/>
        <v>1275000</v>
      </c>
      <c r="F21" s="145">
        <f t="shared" si="5"/>
        <v>1303659.0933513334</v>
      </c>
      <c r="G21" s="145">
        <f t="shared" si="5"/>
        <v>1360082.0786827952</v>
      </c>
      <c r="H21" s="145">
        <f t="shared" si="5"/>
        <v>1436205.0018367083</v>
      </c>
      <c r="I21" s="145">
        <f t="shared" si="5"/>
        <v>1517065.3274582115</v>
      </c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2"/>
      <c r="FM21" s="42"/>
      <c r="FN21" s="42"/>
      <c r="FO21" s="42"/>
      <c r="FP21" s="42"/>
      <c r="FQ21" s="42"/>
      <c r="FR21" s="42"/>
      <c r="FS21" s="42"/>
      <c r="FT21" s="42"/>
      <c r="FU21" s="42"/>
    </row>
    <row r="22" spans="1:177" customFormat="1" ht="25.5" x14ac:dyDescent="0.2">
      <c r="A22" s="192" t="s">
        <v>287</v>
      </c>
      <c r="B22" s="133" t="s">
        <v>406</v>
      </c>
      <c r="C22" s="31">
        <f>14946.7+53811.15+4806.41</f>
        <v>73564.260000000009</v>
      </c>
      <c r="D22" s="31">
        <f>56728.23+23492.9</f>
        <v>80221.13</v>
      </c>
      <c r="E22" s="31">
        <v>80000</v>
      </c>
      <c r="F22" s="146">
        <f>((C22+D22+E22)/3)*(1+Parâmetros!C11)+5000</f>
        <v>86489.794107666676</v>
      </c>
      <c r="G22" s="146">
        <f>((F22)*(1+Parâmetros!D11))</f>
        <v>89966.683830794878</v>
      </c>
      <c r="H22" s="146">
        <f>((G22)*(1+Parâmetros!E11))</f>
        <v>93439.397826663553</v>
      </c>
      <c r="I22" s="146">
        <f>((H22)*(1+Parâmetros!F11))</f>
        <v>97018.126763424763</v>
      </c>
    </row>
    <row r="23" spans="1:177" customFormat="1" ht="25.5" x14ac:dyDescent="0.2">
      <c r="A23" s="192" t="s">
        <v>288</v>
      </c>
      <c r="B23" s="133" t="s">
        <v>407</v>
      </c>
      <c r="C23" s="31">
        <v>115415.67</v>
      </c>
      <c r="D23" s="31">
        <v>162226.39000000001</v>
      </c>
      <c r="E23" s="31">
        <v>170000</v>
      </c>
      <c r="F23" s="146">
        <f>((C23+D23+E23)/3)*(1+Parâmetros!C11)+20000</f>
        <v>176033.100714</v>
      </c>
      <c r="G23" s="146">
        <f>((F23)*(1+Parâmetros!D11))</f>
        <v>183109.63136270281</v>
      </c>
      <c r="H23" s="146">
        <f>((G23)*(1+Parâmetros!E11))</f>
        <v>190177.66313330314</v>
      </c>
      <c r="I23" s="146">
        <f>((H23)*(1+Parâmetros!F11))</f>
        <v>197461.46763130865</v>
      </c>
    </row>
    <row r="24" spans="1:177" customFormat="1" ht="25.5" x14ac:dyDescent="0.2">
      <c r="A24" s="192" t="s">
        <v>289</v>
      </c>
      <c r="B24" s="133" t="s">
        <v>408</v>
      </c>
      <c r="C24" s="31">
        <f>29835.21+2028.48</f>
        <v>31863.69</v>
      </c>
      <c r="D24" s="31">
        <v>25778.87</v>
      </c>
      <c r="E24" s="31">
        <v>25000</v>
      </c>
      <c r="F24" s="146">
        <f>((C24+D24+E24)/3)*(1+Parâmetros!C11)</f>
        <v>28806.441664000002</v>
      </c>
      <c r="G24" s="146">
        <f>((D24+E24+F24)/3)*(1+Parâmetros!D11)</f>
        <v>27594.880397630932</v>
      </c>
      <c r="H24" s="146">
        <f>((E24+F24+G24)/3)*(1+Parâmetros!E11)</f>
        <v>28181.137697736627</v>
      </c>
      <c r="I24" s="146">
        <f>((F24+G24+H24)/3)*(1+Parâmetros!F11)</f>
        <v>29273.989322717112</v>
      </c>
    </row>
    <row r="25" spans="1:177" customFormat="1" ht="21.75" customHeight="1" x14ac:dyDescent="0.2">
      <c r="A25" s="192" t="s">
        <v>290</v>
      </c>
      <c r="B25" s="133" t="s">
        <v>153</v>
      </c>
      <c r="C25" s="31">
        <f>4730.63+45852.19+3225.38+7313.63+2925.7+12502.49+26128.21+754.47</f>
        <v>103432.69999999998</v>
      </c>
      <c r="D25" s="31">
        <v>190610.11</v>
      </c>
      <c r="E25" s="31">
        <v>150000</v>
      </c>
      <c r="F25" s="146">
        <f>((C25+D25+E25)/3)*(1+Parâmetros!C11)</f>
        <v>154778.52213900001</v>
      </c>
      <c r="G25" s="146">
        <f>((F25)*(1+Parâmetros!D11))</f>
        <v>161000.61872898781</v>
      </c>
      <c r="H25" s="146">
        <f>((G25)*(1+Parâmetros!E11))</f>
        <v>167215.24261192675</v>
      </c>
      <c r="I25" s="146">
        <f>((H25)*(1+Parâmetros!F11))</f>
        <v>173619.58640396353</v>
      </c>
    </row>
    <row r="26" spans="1:177" customFormat="1" ht="21" customHeight="1" x14ac:dyDescent="0.2">
      <c r="A26" s="192" t="s">
        <v>291</v>
      </c>
      <c r="B26" s="133" t="s">
        <v>292</v>
      </c>
      <c r="C26" s="31">
        <v>872871.27</v>
      </c>
      <c r="D26" s="31">
        <f>722216.13</f>
        <v>722216.13</v>
      </c>
      <c r="E26" s="31">
        <v>850000</v>
      </c>
      <c r="F26" s="146">
        <f>((C26+D26+E26)/3)*(1+Parâmetros!C11)+5275.27</f>
        <v>857551.23472666671</v>
      </c>
      <c r="G26" s="146">
        <f>((F26)*(1+Parâmetros!D$11))+6385.47</f>
        <v>898410.26436267875</v>
      </c>
      <c r="H26" s="146">
        <f>((G26)*(1+Parâmetros!E$11))+24102.66</f>
        <v>957191.56056707818</v>
      </c>
      <c r="I26" s="146">
        <f>((H26)*(1+Parâmetros!F$11))+25840.16</f>
        <v>1019692.1573367973</v>
      </c>
    </row>
    <row r="27" spans="1:177" customFormat="1" ht="20.25" customHeight="1" x14ac:dyDescent="0.2">
      <c r="A27" s="192" t="s">
        <v>293</v>
      </c>
      <c r="B27" s="133" t="s">
        <v>56</v>
      </c>
      <c r="C27" s="31"/>
      <c r="D27" s="31"/>
      <c r="E27" s="31"/>
      <c r="F27" s="146">
        <f>((C27+D27+E27)/3)*(1+Parâmetros!C11)</f>
        <v>0</v>
      </c>
      <c r="G27" s="146">
        <f>((F27)*(1+Parâmetros!D$11))</f>
        <v>0</v>
      </c>
      <c r="H27" s="146">
        <f>((G27)*(1+Parâmetros!E$11))</f>
        <v>0</v>
      </c>
      <c r="I27" s="146">
        <f>((H27)*(1+Parâmetros!F$11))</f>
        <v>0</v>
      </c>
    </row>
    <row r="28" spans="1:177" customFormat="1" ht="24.75" customHeight="1" x14ac:dyDescent="0.2">
      <c r="A28" s="191" t="s">
        <v>57</v>
      </c>
      <c r="B28" s="133" t="s">
        <v>58</v>
      </c>
      <c r="C28" s="31"/>
      <c r="D28" s="31"/>
      <c r="E28" s="31"/>
      <c r="F28" s="146">
        <f>((C28+D28+E28)/3)*(1+Parâmetros!C11)</f>
        <v>0</v>
      </c>
      <c r="G28" s="146">
        <f>((F28)*(1+Parâmetros!D$11))</f>
        <v>0</v>
      </c>
      <c r="H28" s="146">
        <f>((G28)*(1+Parâmetros!E$11))</f>
        <v>0</v>
      </c>
      <c r="I28" s="146">
        <f>((H28)*(1+Parâmetros!F$11))</f>
        <v>0</v>
      </c>
    </row>
    <row r="29" spans="1:177" customFormat="1" ht="15" x14ac:dyDescent="0.2">
      <c r="A29" s="191" t="s">
        <v>59</v>
      </c>
      <c r="B29" s="133" t="s">
        <v>60</v>
      </c>
      <c r="C29" s="31"/>
      <c r="D29" s="31"/>
      <c r="E29" s="31"/>
      <c r="F29" s="146">
        <f>((C29+D29+E29)/3)*(1+Parâmetros!C11)</f>
        <v>0</v>
      </c>
      <c r="G29" s="146">
        <f>((F29)*(1+Parâmetros!D$11))</f>
        <v>0</v>
      </c>
      <c r="H29" s="146">
        <f>((G29)*(1+Parâmetros!E$11))</f>
        <v>0</v>
      </c>
      <c r="I29" s="146">
        <f>((H29)*(1+Parâmetros!F$11))</f>
        <v>0</v>
      </c>
      <c r="K29" s="217"/>
    </row>
    <row r="30" spans="1:177" customFormat="1" ht="25.5" x14ac:dyDescent="0.2">
      <c r="A30" s="191" t="s">
        <v>61</v>
      </c>
      <c r="B30" s="133" t="s">
        <v>62</v>
      </c>
      <c r="C30" s="31"/>
      <c r="D30" s="31"/>
      <c r="E30" s="31"/>
      <c r="F30" s="146">
        <f>((C30+D30+E30)/3)*(1+Parâmetros!C11)</f>
        <v>0</v>
      </c>
      <c r="G30" s="146">
        <f>((F30)*(1+Parâmetros!D$11))</f>
        <v>0</v>
      </c>
      <c r="H30" s="146">
        <f>((G30)*(1+Parâmetros!E$11))</f>
        <v>0</v>
      </c>
      <c r="I30" s="146">
        <f>((H30)*(1+Parâmetros!F$11))</f>
        <v>0</v>
      </c>
      <c r="K30" s="217"/>
    </row>
    <row r="31" spans="1:177" customFormat="1" ht="15" x14ac:dyDescent="0.2">
      <c r="A31" s="191" t="s">
        <v>63</v>
      </c>
      <c r="B31" s="133" t="s">
        <v>64</v>
      </c>
      <c r="C31" s="31"/>
      <c r="D31" s="31"/>
      <c r="E31" s="31"/>
      <c r="F31" s="146">
        <f>((C31+D31+E31)/3)*(1+Parâmetros!C11)</f>
        <v>0</v>
      </c>
      <c r="G31" s="146">
        <f>((F31)*(1+Parâmetros!D$11))</f>
        <v>0</v>
      </c>
      <c r="H31" s="146">
        <f>((G31)*(1+Parâmetros!E$11))</f>
        <v>0</v>
      </c>
      <c r="I31" s="146">
        <f>((H31)*(1+Parâmetros!F$11))</f>
        <v>0</v>
      </c>
    </row>
    <row r="32" spans="1:177" customFormat="1" ht="15" x14ac:dyDescent="0.2">
      <c r="A32" s="191" t="s">
        <v>65</v>
      </c>
      <c r="B32" s="133" t="s">
        <v>66</v>
      </c>
      <c r="C32" s="31"/>
      <c r="D32" s="31"/>
      <c r="E32" s="31"/>
      <c r="F32" s="146">
        <f>((C32+D32+E32)/3)*(1+Parâmetros!C11)</f>
        <v>0</v>
      </c>
      <c r="G32" s="146">
        <f>((F32)*(1+Parâmetros!D$11))</f>
        <v>0</v>
      </c>
      <c r="H32" s="146">
        <f>((G32)*(1+Parâmetros!E$11))</f>
        <v>0</v>
      </c>
      <c r="I32" s="146">
        <f>((H32)*(1+Parâmetros!F$11))</f>
        <v>0</v>
      </c>
    </row>
    <row r="33" spans="1:11" customFormat="1" ht="15" x14ac:dyDescent="0.2">
      <c r="A33" s="191" t="s">
        <v>67</v>
      </c>
      <c r="B33" s="133" t="s">
        <v>68</v>
      </c>
      <c r="C33" s="31"/>
      <c r="D33" s="31"/>
      <c r="E33" s="31"/>
      <c r="F33" s="146">
        <f>((C33+D33+E33)/3)*(1+Parâmetros!C11)</f>
        <v>0</v>
      </c>
      <c r="G33" s="146">
        <f>((F33)*(1+Parâmetros!D$11))</f>
        <v>0</v>
      </c>
      <c r="H33" s="146">
        <f>((G33)*(1+Parâmetros!E$11))</f>
        <v>0</v>
      </c>
      <c r="I33" s="146">
        <f>((H33)*(1+Parâmetros!F$11))</f>
        <v>0</v>
      </c>
    </row>
    <row r="34" spans="1:11" customFormat="1" ht="15" x14ac:dyDescent="0.2">
      <c r="A34" s="191" t="s">
        <v>80</v>
      </c>
      <c r="B34" s="133" t="s">
        <v>81</v>
      </c>
      <c r="C34" s="31"/>
      <c r="D34" s="31"/>
      <c r="E34" s="31"/>
      <c r="F34" s="146">
        <f>((C34+D34+E34)/3)*(1+Parâmetros!C11)</f>
        <v>0</v>
      </c>
      <c r="G34" s="146">
        <f>((F34)*(1+Parâmetros!D$11))</f>
        <v>0</v>
      </c>
      <c r="H34" s="146">
        <f>((G34)*(1+Parâmetros!E$11))</f>
        <v>0</v>
      </c>
      <c r="I34" s="146">
        <f>((H34)*(1+Parâmetros!F$11))</f>
        <v>0</v>
      </c>
      <c r="J34" s="55" t="s">
        <v>145</v>
      </c>
    </row>
    <row r="35" spans="1:11" s="5" customFormat="1" ht="15" x14ac:dyDescent="0.2">
      <c r="A35" s="191" t="s">
        <v>142</v>
      </c>
      <c r="B35" s="133" t="s">
        <v>69</v>
      </c>
      <c r="C35" s="31">
        <f>725311.66-9425.7</f>
        <v>715885.96000000008</v>
      </c>
      <c r="D35" s="31">
        <f>614350.12-1064.76</f>
        <v>613285.36</v>
      </c>
      <c r="E35" s="31">
        <v>710000</v>
      </c>
      <c r="F35" s="146">
        <f>((C35+D35+E35)/3)*(1+Parâmetros!C12)+100000</f>
        <v>791482.99461200007</v>
      </c>
      <c r="G35" s="146">
        <f>((F35)*(1+Parâmetros!D$11))</f>
        <v>823300.61099540244</v>
      </c>
      <c r="H35" s="146">
        <f>((G35)*(1+Parâmetros!E$11))</f>
        <v>855080.01457982499</v>
      </c>
      <c r="I35" s="146">
        <f>((H35)*(1+Parâmetros!F$11))</f>
        <v>887829.57913823228</v>
      </c>
    </row>
    <row r="36" spans="1:11" s="5" customFormat="1" x14ac:dyDescent="0.2">
      <c r="A36" s="192" t="s">
        <v>70</v>
      </c>
      <c r="B36" s="132" t="s">
        <v>71</v>
      </c>
      <c r="C36" s="145">
        <f t="shared" ref="C36:I36" si="6">C37+C52+C68+C69+C70+C71+C72</f>
        <v>24879043.68</v>
      </c>
      <c r="D36" s="145">
        <f t="shared" si="6"/>
        <v>28510284.300000004</v>
      </c>
      <c r="E36" s="145">
        <f t="shared" si="6"/>
        <v>30296285</v>
      </c>
      <c r="F36" s="145">
        <f t="shared" si="6"/>
        <v>30849736.340463329</v>
      </c>
      <c r="G36" s="145">
        <f t="shared" si="6"/>
        <v>32571207.524383448</v>
      </c>
      <c r="H36" s="145">
        <f t="shared" si="6"/>
        <v>34347698.473388225</v>
      </c>
      <c r="I36" s="145">
        <f t="shared" si="6"/>
        <v>36217122.911334574</v>
      </c>
    </row>
    <row r="37" spans="1:11" s="5" customFormat="1" x14ac:dyDescent="0.2">
      <c r="A37" s="192" t="s">
        <v>72</v>
      </c>
      <c r="B37" s="132" t="s">
        <v>73</v>
      </c>
      <c r="C37" s="145">
        <f t="shared" ref="C37:I37" si="7">SUM(C38:C51)</f>
        <v>16658465.810000001</v>
      </c>
      <c r="D37" s="145">
        <f t="shared" si="7"/>
        <v>19076718.940000005</v>
      </c>
      <c r="E37" s="145">
        <f t="shared" si="7"/>
        <v>20117000</v>
      </c>
      <c r="F37" s="145">
        <f t="shared" si="7"/>
        <v>19989742.814999998</v>
      </c>
      <c r="G37" s="145">
        <f t="shared" si="7"/>
        <v>21209197.085686263</v>
      </c>
      <c r="H37" s="145">
        <f t="shared" si="7"/>
        <v>22468429.535057619</v>
      </c>
      <c r="I37" s="145">
        <f t="shared" si="7"/>
        <v>23795549.793975338</v>
      </c>
    </row>
    <row r="38" spans="1:11" customFormat="1" ht="15" x14ac:dyDescent="0.2">
      <c r="A38" s="199" t="s">
        <v>295</v>
      </c>
      <c r="B38" s="133" t="s">
        <v>298</v>
      </c>
      <c r="C38" s="31">
        <v>13227409.970000001</v>
      </c>
      <c r="D38" s="31">
        <v>15602000.310000001</v>
      </c>
      <c r="E38" s="31">
        <v>16150000</v>
      </c>
      <c r="F38" s="146">
        <f>((C38+D38+E38)/3)*(1+Parâmetros!C16)+1000000</f>
        <v>16292999.495200001</v>
      </c>
      <c r="G38" s="146">
        <f>((F38))*((1+Parâmetros!D$16)*(1+Parâmetros!D$11))</f>
        <v>17286937.636405181</v>
      </c>
      <c r="H38" s="146">
        <f>((G38))*((1+Parâmetros!E$16)*(1+Parâmetros!E$11))</f>
        <v>18313297.697753828</v>
      </c>
      <c r="I38" s="146">
        <f>((H38))*((1+Parâmetros!F$16)*(1+Parâmetros!F$11))</f>
        <v>19394990.939569358</v>
      </c>
      <c r="K38" s="217"/>
    </row>
    <row r="39" spans="1:11" customFormat="1" ht="15" x14ac:dyDescent="0.2">
      <c r="A39" s="191" t="s">
        <v>296</v>
      </c>
      <c r="B39" s="133" t="s">
        <v>297</v>
      </c>
      <c r="C39" s="31">
        <v>1309530.73</v>
      </c>
      <c r="D39" s="31">
        <v>1583058.99</v>
      </c>
      <c r="E39" s="31">
        <v>1950000</v>
      </c>
      <c r="F39" s="146">
        <f>((C39+D39+E39)/3)*(1+Parâmetros!C16)</f>
        <v>1646480.5048</v>
      </c>
      <c r="G39" s="146">
        <f>((F39))*((1+Parâmetros!D$16)*(1+Parâmetros!D$11))</f>
        <v>1746922.4015148194</v>
      </c>
      <c r="H39" s="146">
        <f>((G39))*((1+Parâmetros!E$16)*(1+Parâmetros!E$11))</f>
        <v>1850640.6783375572</v>
      </c>
      <c r="I39" s="146">
        <f>((H39))*((1+Parâmetros!F$16)*(1+Parâmetros!F$11))</f>
        <v>1959950.6206442434</v>
      </c>
    </row>
    <row r="40" spans="1:11" customFormat="1" ht="15" x14ac:dyDescent="0.2">
      <c r="A40" s="191" t="s">
        <v>299</v>
      </c>
      <c r="B40" s="133" t="s">
        <v>74</v>
      </c>
      <c r="C40" s="31">
        <v>5977.88</v>
      </c>
      <c r="D40" s="31">
        <v>6910.58</v>
      </c>
      <c r="E40" s="31">
        <v>7000</v>
      </c>
      <c r="F40" s="146">
        <f>((C40+D40+E40)/3)*(1+Parâmetros!C16)</f>
        <v>6762.0763999999999</v>
      </c>
      <c r="G40" s="146">
        <f>((F40))*((1+Parâmetros!D$16)*(1+Parâmetros!D$11))</f>
        <v>7174.5901087056</v>
      </c>
      <c r="H40" s="146">
        <f>((G40))*((1+Parâmetros!E$16)*(1+Parâmetros!E$11))</f>
        <v>7600.5598726396684</v>
      </c>
      <c r="I40" s="146">
        <f>((H40))*((1+Parâmetros!F$16)*(1+Parâmetros!F$11))</f>
        <v>8049.4945420770036</v>
      </c>
    </row>
    <row r="41" spans="1:11" customFormat="1" ht="25.5" x14ac:dyDescent="0.2">
      <c r="A41" s="191" t="s">
        <v>300</v>
      </c>
      <c r="B41" s="133" t="s">
        <v>75</v>
      </c>
      <c r="C41" s="31">
        <v>282451.45</v>
      </c>
      <c r="D41" s="31">
        <v>306087.67</v>
      </c>
      <c r="E41" s="31">
        <v>320000</v>
      </c>
      <c r="F41" s="146">
        <f>((C41+D41+E41)/3)*(1+Parâmetros!C16)</f>
        <v>308903.30080000003</v>
      </c>
      <c r="G41" s="146">
        <f>((F41))*((1+Parâmetros!D$16)*(1+Parâmetros!D$11))</f>
        <v>327747.63776200323</v>
      </c>
      <c r="H41" s="146">
        <f>((G41))*((1+Parâmetros!E$16)*(1+Parâmetros!E$11))</f>
        <v>347206.67051120888</v>
      </c>
      <c r="I41" s="146">
        <f>((H41))*((1+Parâmetros!F$16)*(1+Parâmetros!F$11))</f>
        <v>367714.77971162397</v>
      </c>
    </row>
    <row r="42" spans="1:11" customFormat="1" ht="36.75" customHeight="1" x14ac:dyDescent="0.2">
      <c r="A42" s="193" t="s">
        <v>301</v>
      </c>
      <c r="B42" s="133" t="s">
        <v>76</v>
      </c>
      <c r="C42" s="31">
        <v>850787.67</v>
      </c>
      <c r="D42" s="31">
        <f>895694.17</f>
        <v>895694.17</v>
      </c>
      <c r="E42" s="31">
        <v>1050000</v>
      </c>
      <c r="F42" s="146">
        <f>((C42+D42+E42)/3)*(1+Parâmetros!C16)</f>
        <v>950803.82559999998</v>
      </c>
      <c r="G42" s="146">
        <f>((F42))*((1+Parâmetros!D$16)*(1+Parâmetros!D$11))</f>
        <v>1008806.6621769024</v>
      </c>
      <c r="H42" s="146">
        <f>((G42))*((1+Parâmetros!E$16)*(1+Parâmetros!E$11))</f>
        <v>1068701.5313236695</v>
      </c>
      <c r="I42" s="146">
        <f>((H42))*((1+Parâmetros!F$16)*(1+Parâmetros!F$11))</f>
        <v>1131825.4559728333</v>
      </c>
    </row>
    <row r="43" spans="1:11" customFormat="1" ht="36.75" customHeight="1" x14ac:dyDescent="0.2">
      <c r="A43" s="193" t="s">
        <v>302</v>
      </c>
      <c r="B43" s="133" t="s">
        <v>303</v>
      </c>
      <c r="C43" s="31">
        <v>458482.58</v>
      </c>
      <c r="D43" s="31">
        <v>416936.1</v>
      </c>
      <c r="E43" s="31">
        <v>470000</v>
      </c>
      <c r="F43" s="146">
        <f>((C43+D43+E43)/3)*(1+Parâmetros!C16)</f>
        <v>457442.35119999998</v>
      </c>
      <c r="G43" s="146">
        <f>((F43))*((1+Parâmetros!D$16)*(1+Parâmetros!D$11))</f>
        <v>485348.16439260478</v>
      </c>
      <c r="H43" s="146">
        <f>((G43))*((1+Parâmetros!E$16)*(1+Parâmetros!E$11))</f>
        <v>514164.25560892251</v>
      </c>
      <c r="I43" s="146">
        <f>((H43))*((1+Parâmetros!F$16)*(1+Parâmetros!F$11))</f>
        <v>544533.88153071911</v>
      </c>
    </row>
    <row r="44" spans="1:11" customFormat="1" ht="36.75" customHeight="1" x14ac:dyDescent="0.2">
      <c r="A44" s="193" t="s">
        <v>327</v>
      </c>
      <c r="B44" s="133" t="s">
        <v>328</v>
      </c>
      <c r="C44" s="31"/>
      <c r="D44" s="31"/>
      <c r="E44" s="31"/>
      <c r="F44" s="146">
        <f>((C44+D44+E44)/3)*(1+Parâmetros!C16)</f>
        <v>0</v>
      </c>
      <c r="G44" s="146">
        <f>((F44))*((1+Parâmetros!D$16)*(1+Parâmetros!D$11))</f>
        <v>0</v>
      </c>
      <c r="H44" s="146">
        <f>((G44))*((1+Parâmetros!E$16)*(1+Parâmetros!E$11))</f>
        <v>0</v>
      </c>
      <c r="I44" s="146">
        <f>((H44))*((1+Parâmetros!F$16)*(1+Parâmetros!F$11))</f>
        <v>0</v>
      </c>
    </row>
    <row r="45" spans="1:11" customFormat="1" ht="36.75" customHeight="1" x14ac:dyDescent="0.2">
      <c r="A45" s="193" t="s">
        <v>329</v>
      </c>
      <c r="B45" s="133" t="s">
        <v>330</v>
      </c>
      <c r="C45" s="31"/>
      <c r="D45" s="31"/>
      <c r="E45" s="31"/>
      <c r="F45" s="146">
        <f>((C45+D45+E45)/3)*(1+Parâmetros!C16)</f>
        <v>0</v>
      </c>
      <c r="G45" s="146">
        <f>((F45))*((1+Parâmetros!D$16)*(1+Parâmetros!D$11))</f>
        <v>0</v>
      </c>
      <c r="H45" s="146">
        <f>((G45))*((1+Parâmetros!E$16)*(1+Parâmetros!E$11))</f>
        <v>0</v>
      </c>
      <c r="I45" s="146">
        <f>((H45))*((1+Parâmetros!F$16)*(1+Parâmetros!F$11))</f>
        <v>0</v>
      </c>
    </row>
    <row r="46" spans="1:11" customFormat="1" ht="29.25" customHeight="1" x14ac:dyDescent="0.2">
      <c r="A46" s="191" t="s">
        <v>304</v>
      </c>
      <c r="B46" s="133" t="s">
        <v>380</v>
      </c>
      <c r="C46" s="31">
        <v>87557.33</v>
      </c>
      <c r="D46" s="31">
        <v>93838.03</v>
      </c>
      <c r="E46" s="31">
        <v>120000</v>
      </c>
      <c r="F46" s="146">
        <f>((C46+D46+E46)/3)*(1+Parâmetros!C16)</f>
        <v>102474.4224</v>
      </c>
      <c r="G46" s="146">
        <f>((F46))*((1+Parâmetros!D$16)*(1+Parâmetros!D$11))</f>
        <v>108725.7720640896</v>
      </c>
      <c r="H46" s="146">
        <f>((G46))*((1+Parâmetros!E$16)*(1+Parâmetros!E$11))</f>
        <v>115181.03860307872</v>
      </c>
      <c r="I46" s="146">
        <f>((H46))*((1+Parâmetros!F$16)*(1+Parâmetros!F$11))</f>
        <v>121984.32182920817</v>
      </c>
    </row>
    <row r="47" spans="1:11" customFormat="1" ht="15" x14ac:dyDescent="0.2">
      <c r="A47" s="191" t="s">
        <v>305</v>
      </c>
      <c r="B47" s="133" t="s">
        <v>157</v>
      </c>
      <c r="C47" s="31"/>
      <c r="D47" s="31"/>
      <c r="E47" s="31"/>
      <c r="F47" s="146">
        <f>((C47+D47+E47)/3)</f>
        <v>0</v>
      </c>
      <c r="G47" s="146">
        <f>((F47))*((1+Parâmetros!D$16)*(1+Parâmetros!D$11))</f>
        <v>0</v>
      </c>
      <c r="H47" s="146">
        <f>((G47))*((1+Parâmetros!E$16)*(1+Parâmetros!E$11))</f>
        <v>0</v>
      </c>
      <c r="I47" s="146">
        <f>((H47))*((1+Parâmetros!F$16)*(1+Parâmetros!F$11))</f>
        <v>0</v>
      </c>
    </row>
    <row r="48" spans="1:11" customFormat="1" ht="15" x14ac:dyDescent="0.2">
      <c r="A48" s="191" t="s">
        <v>306</v>
      </c>
      <c r="B48" s="133" t="s">
        <v>155</v>
      </c>
      <c r="C48" s="31"/>
      <c r="D48" s="31"/>
      <c r="E48" s="31"/>
      <c r="F48" s="146">
        <f>((C48+D48+E48)/3)</f>
        <v>0</v>
      </c>
      <c r="G48" s="146">
        <f>((F48))*((1+Parâmetros!D$16)*(1+Parâmetros!D$11))</f>
        <v>0</v>
      </c>
      <c r="H48" s="146">
        <f>((G48))*((1+Parâmetros!E$16)*(1+Parâmetros!E$11))</f>
        <v>0</v>
      </c>
      <c r="I48" s="146">
        <f>((H48))*((1+Parâmetros!F$16)*(1+Parâmetros!F$11))</f>
        <v>0</v>
      </c>
    </row>
    <row r="49" spans="1:9" customFormat="1" ht="15" x14ac:dyDescent="0.2">
      <c r="A49" s="191" t="s">
        <v>307</v>
      </c>
      <c r="B49" s="133" t="s">
        <v>154</v>
      </c>
      <c r="C49" s="31"/>
      <c r="D49" s="31"/>
      <c r="E49" s="31"/>
      <c r="F49" s="146">
        <f>((C49+D49+E49)/3)</f>
        <v>0</v>
      </c>
      <c r="G49" s="146">
        <f>((F49))*((1+Parâmetros!D$16)*(1+Parâmetros!D$11))</f>
        <v>0</v>
      </c>
      <c r="H49" s="146">
        <f>((G49))*((1+Parâmetros!E$16)*(1+Parâmetros!E$11))</f>
        <v>0</v>
      </c>
      <c r="I49" s="146">
        <f>((H49))*((1+Parâmetros!F$16)*(1+Parâmetros!F$11))</f>
        <v>0</v>
      </c>
    </row>
    <row r="50" spans="1:9" customFormat="1" ht="15" x14ac:dyDescent="0.2">
      <c r="A50" s="191" t="s">
        <v>308</v>
      </c>
      <c r="B50" s="133" t="s">
        <v>156</v>
      </c>
      <c r="C50" s="31"/>
      <c r="D50" s="31"/>
      <c r="E50" s="31"/>
      <c r="F50" s="146">
        <f>((C50+D50+E50)/3)</f>
        <v>0</v>
      </c>
      <c r="G50" s="146">
        <f>((F50))*((1+Parâmetros!D$16)*(1+Parâmetros!D$11))</f>
        <v>0</v>
      </c>
      <c r="H50" s="146">
        <f>((G50))*((1+Parâmetros!E$16)*(1+Parâmetros!E$11))</f>
        <v>0</v>
      </c>
      <c r="I50" s="146">
        <f>((H50))*((1+Parâmetros!F$16)*(1+Parâmetros!F$11))</f>
        <v>0</v>
      </c>
    </row>
    <row r="51" spans="1:9" customFormat="1" ht="15" x14ac:dyDescent="0.2">
      <c r="A51" s="191" t="s">
        <v>146</v>
      </c>
      <c r="B51" s="133" t="s">
        <v>147</v>
      </c>
      <c r="C51" s="31">
        <v>436268.2</v>
      </c>
      <c r="D51" s="31">
        <v>172193.09</v>
      </c>
      <c r="E51" s="31">
        <v>50000</v>
      </c>
      <c r="F51" s="146">
        <f>((C51+D51+E51)/3)*(1+Parâmetros!C16)</f>
        <v>223876.83860000002</v>
      </c>
      <c r="G51" s="146">
        <f>((F51))*((1+Parâmetros!D$16)*(1+Parâmetros!D$11))</f>
        <v>237534.22126195443</v>
      </c>
      <c r="H51" s="146">
        <f>((G51))*((1+Parâmetros!E$16)*(1+Parâmetros!E$11))</f>
        <v>251637.10304671919</v>
      </c>
      <c r="I51" s="146">
        <f>((H51))*((1+Parâmetros!F$16)*(1+Parâmetros!F$11))</f>
        <v>266500.3001752767</v>
      </c>
    </row>
    <row r="52" spans="1:9" s="5" customFormat="1" ht="34.5" customHeight="1" x14ac:dyDescent="0.2">
      <c r="A52" s="192" t="s">
        <v>77</v>
      </c>
      <c r="B52" s="132" t="s">
        <v>78</v>
      </c>
      <c r="C52" s="145">
        <f t="shared" ref="C52:I52" si="8">SUM(C53:C67)</f>
        <v>5217862.0999999996</v>
      </c>
      <c r="D52" s="145">
        <f t="shared" si="8"/>
        <v>5975234.3699999992</v>
      </c>
      <c r="E52" s="145">
        <f t="shared" si="8"/>
        <v>6364285</v>
      </c>
      <c r="F52" s="145">
        <f t="shared" si="8"/>
        <v>6858952.1702666674</v>
      </c>
      <c r="G52" s="145">
        <f t="shared" si="8"/>
        <v>7277375.6884616138</v>
      </c>
      <c r="H52" s="145">
        <f t="shared" si="8"/>
        <v>7709448.0378369577</v>
      </c>
      <c r="I52" s="145">
        <f t="shared" si="8"/>
        <v>8164814.2956398362</v>
      </c>
    </row>
    <row r="53" spans="1:9" customFormat="1" ht="15" x14ac:dyDescent="0.2">
      <c r="A53" s="191" t="s">
        <v>309</v>
      </c>
      <c r="B53" s="133" t="s">
        <v>79</v>
      </c>
      <c r="C53" s="31">
        <v>3689432.68</v>
      </c>
      <c r="D53" s="31">
        <v>4156189.33</v>
      </c>
      <c r="E53" s="31">
        <v>4800000</v>
      </c>
      <c r="F53" s="146">
        <f>((C53+D53+E53)/3)*(1+Parâmetros!C17)+900000</f>
        <v>5199511.4834000003</v>
      </c>
      <c r="G53" s="146">
        <f>((F53))*((1+Parâmetros!D$17)*(1+Parâmetros!D$11))</f>
        <v>5516702.4819333339</v>
      </c>
      <c r="H53" s="146">
        <f>((G53))*((1+Parâmetros!E$17)*(1+Parâmetros!E$11))</f>
        <v>5844240.1416906798</v>
      </c>
      <c r="I53" s="146">
        <f>((H53))*((1+Parâmetros!F$17)*(1+Parâmetros!F$11))</f>
        <v>6189436.0298997816</v>
      </c>
    </row>
    <row r="54" spans="1:9" customFormat="1" ht="15" x14ac:dyDescent="0.2">
      <c r="A54" s="191" t="s">
        <v>310</v>
      </c>
      <c r="B54" s="133" t="s">
        <v>82</v>
      </c>
      <c r="C54" s="31">
        <v>469700.88</v>
      </c>
      <c r="D54" s="31">
        <v>570236.85</v>
      </c>
      <c r="E54" s="31">
        <v>560000</v>
      </c>
      <c r="F54" s="146">
        <f>((C54+D54+E54)/3)*(1+Parâmetros!C17)</f>
        <v>543978.82819999999</v>
      </c>
      <c r="G54" s="146">
        <f>((F54))*((1+Parâmetros!D$17)*(1+Parâmetros!D$11))</f>
        <v>577163.71263551281</v>
      </c>
      <c r="H54" s="146">
        <f>((G54))*((1+Parâmetros!E$17)*(1+Parâmetros!E$11))</f>
        <v>611431.07658210851</v>
      </c>
      <c r="I54" s="146">
        <f>((H54))*((1+Parâmetros!F$17)*(1+Parâmetros!F$11))</f>
        <v>647545.8645515074</v>
      </c>
    </row>
    <row r="55" spans="1:9" customFormat="1" ht="15" x14ac:dyDescent="0.2">
      <c r="A55" s="191" t="s">
        <v>311</v>
      </c>
      <c r="B55" s="133" t="s">
        <v>83</v>
      </c>
      <c r="C55" s="31">
        <v>35623.86</v>
      </c>
      <c r="D55" s="31">
        <v>55287.05</v>
      </c>
      <c r="E55" s="31">
        <v>47000</v>
      </c>
      <c r="F55" s="146">
        <f>((C55+D55+E55)/3)*(1+Parâmetros!C17)</f>
        <v>46889.709400000007</v>
      </c>
      <c r="G55" s="146">
        <f>((F55))*((1+Parâmetros!D$17)*(1+Parâmetros!D$11))</f>
        <v>49750.169232237611</v>
      </c>
      <c r="H55" s="146">
        <f>((G55))*((1+Parâmetros!E$17)*(1+Parâmetros!E$11))</f>
        <v>52703.93627989402</v>
      </c>
      <c r="I55" s="146">
        <f>((H55))*((1+Parâmetros!F$17)*(1+Parâmetros!F$11))</f>
        <v>55816.946980202243</v>
      </c>
    </row>
    <row r="56" spans="1:9" customFormat="1" ht="15" x14ac:dyDescent="0.2">
      <c r="A56" s="191" t="s">
        <v>312</v>
      </c>
      <c r="B56" s="133" t="s">
        <v>84</v>
      </c>
      <c r="C56" s="31">
        <v>1283.45</v>
      </c>
      <c r="D56" s="31">
        <v>8880.68</v>
      </c>
      <c r="E56" s="31">
        <v>8000</v>
      </c>
      <c r="F56" s="146">
        <f>((C56+D56+E56)/3)*(1+Parâmetros!C17)</f>
        <v>6175.8042000000005</v>
      </c>
      <c r="G56" s="146">
        <f>((F56))*((1+Parâmetros!D$17)*(1+Parâmetros!D$11))</f>
        <v>6552.5529594168011</v>
      </c>
      <c r="H56" s="146">
        <f>((G56))*((1+Parâmetros!E$17)*(1+Parâmetros!E$11))</f>
        <v>6941.5911337232956</v>
      </c>
      <c r="I56" s="146">
        <f>((H56))*((1+Parâmetros!F$17)*(1+Parâmetros!F$11))</f>
        <v>7351.6031556277958</v>
      </c>
    </row>
    <row r="57" spans="1:9" customFormat="1" ht="15" x14ac:dyDescent="0.2">
      <c r="A57" s="191" t="s">
        <v>313</v>
      </c>
      <c r="B57" s="133" t="s">
        <v>314</v>
      </c>
      <c r="C57" s="31"/>
      <c r="D57" s="31"/>
      <c r="E57" s="31"/>
      <c r="F57" s="146">
        <f>((C57+D57+E57)/3)*(1+Parâmetros!C17)</f>
        <v>0</v>
      </c>
      <c r="G57" s="146">
        <f>((F57))*((1+Parâmetros!D$17)*(1+Parâmetros!D$11))</f>
        <v>0</v>
      </c>
      <c r="H57" s="146">
        <f>((G57))*((1+Parâmetros!E$17)*(1+Parâmetros!E$11))</f>
        <v>0</v>
      </c>
      <c r="I57" s="146">
        <f>((H57))*((1+Parâmetros!F$17)*(1+Parâmetros!F$11))</f>
        <v>0</v>
      </c>
    </row>
    <row r="58" spans="1:9" customFormat="1" ht="25.5" x14ac:dyDescent="0.2">
      <c r="A58" s="191" t="s">
        <v>315</v>
      </c>
      <c r="B58" s="133" t="s">
        <v>85</v>
      </c>
      <c r="C58" s="31">
        <v>234079.43</v>
      </c>
      <c r="D58" s="31">
        <v>246864.88</v>
      </c>
      <c r="E58" s="31">
        <v>420000</v>
      </c>
      <c r="F58" s="146">
        <f>((C58+D58+E58)/3)*(1+Parâmetros!C17)</f>
        <v>306321.06540000002</v>
      </c>
      <c r="G58" s="146">
        <f>((F58))*((1+Parâmetros!D$17)*(1+Parâmetros!D$11))</f>
        <v>325007.87567366165</v>
      </c>
      <c r="H58" s="146">
        <f>((G58))*((1+Parâmetros!E$17)*(1+Parâmetros!E$11))</f>
        <v>344304.24326815829</v>
      </c>
      <c r="I58" s="146">
        <f>((H58))*((1+Parâmetros!F$17)*(1+Parâmetros!F$11))</f>
        <v>364640.91770103533</v>
      </c>
    </row>
    <row r="59" spans="1:9" customFormat="1" ht="15" x14ac:dyDescent="0.2">
      <c r="A59" s="191" t="s">
        <v>316</v>
      </c>
      <c r="B59" s="133" t="s">
        <v>158</v>
      </c>
      <c r="C59" s="31"/>
      <c r="D59" s="31"/>
      <c r="E59" s="31"/>
      <c r="F59" s="146">
        <f>((C59+D59+E59)/3)</f>
        <v>0</v>
      </c>
      <c r="G59" s="146">
        <f>((F59))*((1+Parâmetros!D$17)*(1+Parâmetros!D$11))</f>
        <v>0</v>
      </c>
      <c r="H59" s="146">
        <f>((G59))*((1+Parâmetros!E$17)*(1+Parâmetros!E$11))</f>
        <v>0</v>
      </c>
      <c r="I59" s="146">
        <f>((H59))*((1+Parâmetros!F$17)*(1+Parâmetros!F$11))</f>
        <v>0</v>
      </c>
    </row>
    <row r="60" spans="1:9" customFormat="1" ht="15" x14ac:dyDescent="0.2">
      <c r="A60" s="191" t="s">
        <v>317</v>
      </c>
      <c r="B60" s="133" t="s">
        <v>159</v>
      </c>
      <c r="C60" s="31">
        <v>375169.73</v>
      </c>
      <c r="D60" s="31">
        <v>472045.16</v>
      </c>
      <c r="E60" s="31">
        <v>520000</v>
      </c>
      <c r="F60" s="146">
        <f>((C60+D60+E60)/3)</f>
        <v>455738.29666666663</v>
      </c>
      <c r="G60" s="146">
        <f>((F60))*((1+Parâmetros!D$17)*(1+Parâmetros!D$11))</f>
        <v>483540.15571651998</v>
      </c>
      <c r="H60" s="146">
        <f>((G60))*((1+Parâmetros!E$17)*(1+Parâmetros!E$11))</f>
        <v>512248.90184172121</v>
      </c>
      <c r="I60" s="146">
        <f>((H60))*((1+Parâmetros!F$17)*(1+Parâmetros!F$11))</f>
        <v>542505.39547790436</v>
      </c>
    </row>
    <row r="61" spans="1:9" customFormat="1" ht="15" x14ac:dyDescent="0.2">
      <c r="A61" s="191" t="s">
        <v>319</v>
      </c>
      <c r="B61" s="133" t="s">
        <v>160</v>
      </c>
      <c r="C61" s="31"/>
      <c r="D61" s="31"/>
      <c r="E61" s="31"/>
      <c r="F61" s="146">
        <f>((C61+D61+E61)/3)</f>
        <v>0</v>
      </c>
      <c r="G61" s="146">
        <f>((F61))*((1+Parâmetros!D$17)*(1+Parâmetros!D$11))</f>
        <v>0</v>
      </c>
      <c r="H61" s="146">
        <f>((G61))*((1+Parâmetros!E$17)*(1+Parâmetros!E$11))</f>
        <v>0</v>
      </c>
      <c r="I61" s="146">
        <f>((H61))*((1+Parâmetros!F$17)*(1+Parâmetros!F$11))</f>
        <v>0</v>
      </c>
    </row>
    <row r="62" spans="1:9" customFormat="1" ht="15" x14ac:dyDescent="0.2">
      <c r="A62" s="191" t="s">
        <v>320</v>
      </c>
      <c r="B62" s="133" t="s">
        <v>161</v>
      </c>
      <c r="C62" s="31">
        <v>216414.54</v>
      </c>
      <c r="D62" s="31"/>
      <c r="E62" s="31"/>
      <c r="F62" s="146">
        <f>((C62+D62+E62)/3)</f>
        <v>72138.180000000008</v>
      </c>
      <c r="G62" s="146">
        <f>((F62))*((1+Parâmetros!D$17)*(1+Parâmetros!D$11))</f>
        <v>76538.897532720017</v>
      </c>
      <c r="H62" s="146">
        <f>((G62))*((1+Parâmetros!E$17)*(1+Parâmetros!E$11))</f>
        <v>81083.16495703267</v>
      </c>
      <c r="I62" s="146">
        <f>((H62))*((1+Parâmetros!F$17)*(1+Parâmetros!F$11))</f>
        <v>85872.423178384764</v>
      </c>
    </row>
    <row r="63" spans="1:9" customFormat="1" ht="15" x14ac:dyDescent="0.2">
      <c r="A63" s="191" t="s">
        <v>378</v>
      </c>
      <c r="B63" s="133" t="s">
        <v>379</v>
      </c>
      <c r="C63" s="31"/>
      <c r="D63" s="31">
        <v>9284.8799999999992</v>
      </c>
      <c r="E63" s="31">
        <v>9285</v>
      </c>
      <c r="F63" s="146">
        <f>((C63+D63+E63)/3)*(1+Parâmetros!C17)</f>
        <v>6313.7591999999995</v>
      </c>
      <c r="G63" s="146">
        <f>((F63))*((1+Parâmetros!D$17)*(1+Parâmetros!D$11))</f>
        <v>6698.9237662367996</v>
      </c>
      <c r="H63" s="146">
        <f>((G63))*((1+Parâmetros!E$17)*(1+Parâmetros!E$11))</f>
        <v>7096.6522680858106</v>
      </c>
      <c r="I63" s="146">
        <f>((H63))*((1+Parâmetros!F$17)*(1+Parâmetros!F$11))</f>
        <v>7515.8231309525672</v>
      </c>
    </row>
    <row r="64" spans="1:9" customFormat="1" ht="31.5" customHeight="1" x14ac:dyDescent="0.2">
      <c r="A64" s="191" t="s">
        <v>359</v>
      </c>
      <c r="B64" s="133" t="s">
        <v>360</v>
      </c>
      <c r="C64" s="31">
        <v>196157.53</v>
      </c>
      <c r="D64" s="31">
        <v>56445.54</v>
      </c>
      <c r="E64" s="31"/>
      <c r="F64" s="146">
        <f>((C64+D64+E64)/3)*(1+Parâmetros!C17)</f>
        <v>85885.043799999999</v>
      </c>
      <c r="G64" s="146">
        <f>((F64))*((1+Parâmetros!D$17)*(1+Parâmetros!D$11))</f>
        <v>91124.375011975208</v>
      </c>
      <c r="H64" s="146">
        <f>((G64))*((1+Parâmetros!E$17)*(1+Parâmetros!E$11))</f>
        <v>96534.611405186195</v>
      </c>
      <c r="I64" s="146">
        <f>((H64))*((1+Parâmetros!F$17)*(1+Parâmetros!F$11))</f>
        <v>102236.52476244493</v>
      </c>
    </row>
    <row r="65" spans="1:10" customFormat="1" ht="15" x14ac:dyDescent="0.2">
      <c r="A65" s="191" t="s">
        <v>322</v>
      </c>
      <c r="B65" s="133" t="s">
        <v>357</v>
      </c>
      <c r="C65" s="31"/>
      <c r="D65" s="31"/>
      <c r="E65" s="31"/>
      <c r="F65" s="146">
        <f>((C65+D65+E65)/3)*(1+Parâmetros!C17)</f>
        <v>0</v>
      </c>
      <c r="G65" s="146">
        <f>((F65))*((1+Parâmetros!D$17)*(1+Parâmetros!D$11))</f>
        <v>0</v>
      </c>
      <c r="H65" s="146">
        <f>((G65))*((1+Parâmetros!E$17)*(1+Parâmetros!E$11))</f>
        <v>0</v>
      </c>
      <c r="I65" s="146">
        <f>((H65))*((1+Parâmetros!F$17)*(1+Parâmetros!F$11))</f>
        <v>0</v>
      </c>
    </row>
    <row r="66" spans="1:10" customFormat="1" ht="15" x14ac:dyDescent="0.2">
      <c r="A66" s="191" t="s">
        <v>323</v>
      </c>
      <c r="B66" s="133" t="s">
        <v>318</v>
      </c>
      <c r="C66" s="31"/>
      <c r="D66" s="31"/>
      <c r="E66" s="31"/>
      <c r="F66" s="146">
        <f>((C66+D66+E66)/3)*(1+Parâmetros!C17)</f>
        <v>0</v>
      </c>
      <c r="G66" s="146">
        <f>((F66))*((1+Parâmetros!D$17)*(1+Parâmetros!D$11))</f>
        <v>0</v>
      </c>
      <c r="H66" s="146">
        <f>((G66))*((1+Parâmetros!E$17)*(1+Parâmetros!E$11))</f>
        <v>0</v>
      </c>
      <c r="I66" s="146">
        <f>((H66))*((1+Parâmetros!F$17)*(1+Parâmetros!F$11))</f>
        <v>0</v>
      </c>
    </row>
    <row r="67" spans="1:10" customFormat="1" ht="15" x14ac:dyDescent="0.2">
      <c r="A67" s="191" t="s">
        <v>321</v>
      </c>
      <c r="B67" s="133" t="s">
        <v>324</v>
      </c>
      <c r="C67" s="31"/>
      <c r="D67" s="31">
        <v>400000</v>
      </c>
      <c r="E67" s="31"/>
      <c r="F67" s="146">
        <f>((C67+D67+E67)/3)*(1+Parâmetros!C17)</f>
        <v>136000</v>
      </c>
      <c r="G67" s="146">
        <f>((F67))*((1+Parâmetros!D$17)*(1+Parâmetros!D$11))</f>
        <v>144296.54399999999</v>
      </c>
      <c r="H67" s="146">
        <f>((G67))*((1+Parâmetros!E$17)*(1+Parâmetros!E$11))</f>
        <v>152863.71841036799</v>
      </c>
      <c r="I67" s="146">
        <f>((H67))*((1+Parâmetros!F$17)*(1+Parâmetros!F$11))</f>
        <v>161892.76680199479</v>
      </c>
    </row>
    <row r="68" spans="1:10" customFormat="1" ht="15" x14ac:dyDescent="0.2">
      <c r="A68" s="191" t="s">
        <v>86</v>
      </c>
      <c r="B68" s="133" t="s">
        <v>87</v>
      </c>
      <c r="C68" s="31"/>
      <c r="D68" s="31"/>
      <c r="E68" s="31"/>
      <c r="F68" s="146">
        <f>((C68+D68+E68)/3)</f>
        <v>0</v>
      </c>
      <c r="G68" s="146">
        <f>((F68))*((1+Parâmetros!D$17)*(1+Parâmetros!D$11))</f>
        <v>0</v>
      </c>
      <c r="H68" s="146">
        <f>((G68))*((1+Parâmetros!E$17)*(1+Parâmetros!E$11))</f>
        <v>0</v>
      </c>
      <c r="I68" s="146">
        <f>((H68))*((1+Parâmetros!F$17)*(1+Parâmetros!F$11))</f>
        <v>0</v>
      </c>
    </row>
    <row r="69" spans="1:10" customFormat="1" ht="15" x14ac:dyDescent="0.2">
      <c r="A69" s="191" t="s">
        <v>88</v>
      </c>
      <c r="B69" s="133" t="s">
        <v>89</v>
      </c>
      <c r="C69" s="31"/>
      <c r="D69" s="31">
        <v>6276</v>
      </c>
      <c r="E69" s="31"/>
      <c r="F69" s="146">
        <f>((C69+D69+E69)/3)</f>
        <v>2092</v>
      </c>
      <c r="G69" s="146">
        <f>((F69))*((1+Parâmetros!D$11))</f>
        <v>2176.0983999999999</v>
      </c>
      <c r="H69" s="146">
        <f>((G69))*((1+Parâmetros!E$11))</f>
        <v>2260.0957982399996</v>
      </c>
      <c r="I69" s="146">
        <f>((H69))*((1+Parâmetros!F$11))</f>
        <v>2346.6574673125915</v>
      </c>
    </row>
    <row r="70" spans="1:10" s="5" customFormat="1" x14ac:dyDescent="0.2">
      <c r="A70" s="192" t="s">
        <v>325</v>
      </c>
      <c r="B70" s="132" t="s">
        <v>326</v>
      </c>
      <c r="C70" s="31">
        <f>3007262.33-4996.64</f>
        <v>3002265.69</v>
      </c>
      <c r="D70" s="31">
        <v>3440972.37</v>
      </c>
      <c r="E70" s="31">
        <v>3800000</v>
      </c>
      <c r="F70" s="145">
        <f>((C70+D70+E70)/3)*(1+AVERAGE(Parâmetros!C16:'Parâmetros'!C17))+500000</f>
        <v>3982700.9404000002</v>
      </c>
      <c r="G70" s="145">
        <f>((F70))*((1+AVERAGE(Parâmetros!D16:'Parâmetros'!D17)*(1+Parâmetros!D$11)))</f>
        <v>4065557.050764082</v>
      </c>
      <c r="H70" s="145">
        <f>((G70))*((1+AVERAGE(Parâmetros!E16:'Parâmetros'!E17)*(1+Parâmetros!E$11)))</f>
        <v>4150006.8018225534</v>
      </c>
      <c r="I70" s="145">
        <f>((H70))*((1+AVERAGE(Parâmetros!F16:'Parâmetros'!F17)*(1+Parâmetros!F$11)))</f>
        <v>4236185.8430692004</v>
      </c>
      <c r="J70" s="5" t="s">
        <v>358</v>
      </c>
    </row>
    <row r="71" spans="1:10" customFormat="1" ht="15" x14ac:dyDescent="0.2">
      <c r="A71" s="191" t="s">
        <v>91</v>
      </c>
      <c r="B71" s="133" t="s">
        <v>92</v>
      </c>
      <c r="C71" s="31"/>
      <c r="D71" s="31"/>
      <c r="E71" s="31"/>
      <c r="F71" s="146">
        <f>((C71+D71+E71)/3)*(1+Parâmetros!C11)</f>
        <v>0</v>
      </c>
      <c r="G71" s="146">
        <f>((D71+E71+F71)/3)*(1+Parâmetros!D11)</f>
        <v>0</v>
      </c>
      <c r="H71" s="146">
        <f>((E71+F71+G71)/3)*(1+Parâmetros!E11)</f>
        <v>0</v>
      </c>
      <c r="I71" s="146">
        <f>((F71+G71+H71)/3)*(1+Parâmetros!F11)</f>
        <v>0</v>
      </c>
    </row>
    <row r="72" spans="1:10" customFormat="1" ht="15" x14ac:dyDescent="0.2">
      <c r="A72" s="191" t="s">
        <v>331</v>
      </c>
      <c r="B72" s="133" t="s">
        <v>344</v>
      </c>
      <c r="C72" s="31">
        <v>450.08</v>
      </c>
      <c r="D72" s="31">
        <v>11082.62</v>
      </c>
      <c r="E72" s="31">
        <v>15000</v>
      </c>
      <c r="F72" s="146">
        <f>((C72+D72+E72)/3)*(1+Parâmetros!C11)+7000</f>
        <v>16248.414796666668</v>
      </c>
      <c r="G72" s="146">
        <f>((F72))*(1+Parâmetros!D11)</f>
        <v>16901.601071492667</v>
      </c>
      <c r="H72" s="146">
        <f>((G72))*(1+Parâmetros!E11)</f>
        <v>17554.002872852285</v>
      </c>
      <c r="I72" s="146">
        <f>((H72))*(1+Parâmetros!F11)</f>
        <v>18226.321182882526</v>
      </c>
    </row>
    <row r="73" spans="1:10" s="5" customFormat="1" x14ac:dyDescent="0.2">
      <c r="A73" s="192" t="s">
        <v>94</v>
      </c>
      <c r="B73" s="132" t="s">
        <v>95</v>
      </c>
      <c r="C73" s="145">
        <f t="shared" ref="C73:I73" si="9">C74+C75+C76</f>
        <v>225286.3</v>
      </c>
      <c r="D73" s="145">
        <f t="shared" si="9"/>
        <v>207041.55</v>
      </c>
      <c r="E73" s="145">
        <f t="shared" si="9"/>
        <v>260000</v>
      </c>
      <c r="F73" s="145">
        <f t="shared" si="9"/>
        <v>280397.83434599999</v>
      </c>
      <c r="G73" s="145">
        <f t="shared" si="9"/>
        <v>291669.82728670922</v>
      </c>
      <c r="H73" s="145">
        <f t="shared" si="9"/>
        <v>302928.28261997621</v>
      </c>
      <c r="I73" s="145">
        <f t="shared" si="9"/>
        <v>314530.43584432127</v>
      </c>
    </row>
    <row r="74" spans="1:10" customFormat="1" ht="15" x14ac:dyDescent="0.2">
      <c r="A74" s="191" t="s">
        <v>96</v>
      </c>
      <c r="B74" s="133" t="s">
        <v>97</v>
      </c>
      <c r="C74" s="31"/>
      <c r="D74" s="31">
        <v>2652.51</v>
      </c>
      <c r="E74" s="31"/>
      <c r="F74" s="146"/>
      <c r="G74" s="146"/>
      <c r="H74" s="146"/>
      <c r="I74" s="146"/>
    </row>
    <row r="75" spans="1:10" customFormat="1" ht="15" x14ac:dyDescent="0.2">
      <c r="A75" s="191" t="s">
        <v>98</v>
      </c>
      <c r="B75" s="133" t="s">
        <v>99</v>
      </c>
      <c r="C75" s="31">
        <v>220003.02</v>
      </c>
      <c r="D75" s="31">
        <f>208078.86-66314</f>
        <v>141764.85999999999</v>
      </c>
      <c r="E75" s="31">
        <v>120000</v>
      </c>
      <c r="F75" s="146">
        <f>((C75+D75+E75)/3)*(1+Parâmetros!C11)-40000</f>
        <v>127928.22403866667</v>
      </c>
      <c r="G75" s="146">
        <f>((F75))*((1+Parâmetros!D$11))</f>
        <v>133070.93864502106</v>
      </c>
      <c r="H75" s="146">
        <f>((G75))*((1+Parâmetros!E$11))</f>
        <v>138207.47687671887</v>
      </c>
      <c r="I75" s="146">
        <f>((H75))*((1+Parâmetros!F$11))</f>
        <v>143500.82324109721</v>
      </c>
    </row>
    <row r="76" spans="1:10" s="5" customFormat="1" x14ac:dyDescent="0.2">
      <c r="A76" s="192" t="s">
        <v>100</v>
      </c>
      <c r="B76" s="132" t="s">
        <v>101</v>
      </c>
      <c r="C76" s="145">
        <f t="shared" ref="C76:I76" si="10">C77+C78</f>
        <v>5283.28</v>
      </c>
      <c r="D76" s="145">
        <f t="shared" si="10"/>
        <v>62624.18</v>
      </c>
      <c r="E76" s="145">
        <f t="shared" si="10"/>
        <v>140000</v>
      </c>
      <c r="F76" s="145">
        <f t="shared" si="10"/>
        <v>152469.61030733335</v>
      </c>
      <c r="G76" s="145">
        <f t="shared" si="10"/>
        <v>158598.88864168816</v>
      </c>
      <c r="H76" s="145">
        <f t="shared" si="10"/>
        <v>164720.80574325731</v>
      </c>
      <c r="I76" s="145">
        <f t="shared" si="10"/>
        <v>171029.61260322406</v>
      </c>
    </row>
    <row r="77" spans="1:10" customFormat="1" ht="25.5" x14ac:dyDescent="0.2">
      <c r="A77" s="191" t="s">
        <v>102</v>
      </c>
      <c r="B77" s="133" t="s">
        <v>103</v>
      </c>
      <c r="C77" s="31"/>
      <c r="D77" s="31"/>
      <c r="E77" s="31"/>
      <c r="F77" s="146">
        <f>((C77+D77+E77)/3)*(1+Parâmetros!C11)</f>
        <v>0</v>
      </c>
      <c r="G77" s="146">
        <f>((D77+E77+F77)/3)*(1+Parâmetros!D11)</f>
        <v>0</v>
      </c>
      <c r="H77" s="146">
        <f>((E77+F77+G77)/3)*(1+Parâmetros!E11)</f>
        <v>0</v>
      </c>
      <c r="I77" s="146">
        <f>((F77+G77+H77)/3)*(1+Parâmetros!F11)</f>
        <v>0</v>
      </c>
    </row>
    <row r="78" spans="1:10" customFormat="1" ht="15" x14ac:dyDescent="0.2">
      <c r="A78" s="191" t="s">
        <v>104</v>
      </c>
      <c r="B78" s="133" t="s">
        <v>143</v>
      </c>
      <c r="C78" s="31">
        <v>5283.28</v>
      </c>
      <c r="D78" s="31">
        <v>62624.18</v>
      </c>
      <c r="E78" s="31">
        <v>140000</v>
      </c>
      <c r="F78" s="146">
        <f>((C78+D78+E78)/3)*(1+Parâmetros!C11)+80000</f>
        <v>152469.61030733335</v>
      </c>
      <c r="G78" s="146">
        <f>((F78))*((1+Parâmetros!D$11))</f>
        <v>158598.88864168816</v>
      </c>
      <c r="H78" s="146">
        <f>((G78))*((1+Parâmetros!E$11))</f>
        <v>164720.80574325731</v>
      </c>
      <c r="I78" s="146">
        <f>((H78))*((1+Parâmetros!F$11))</f>
        <v>171029.61260322406</v>
      </c>
    </row>
    <row r="79" spans="1:10" s="8" customFormat="1" ht="18" x14ac:dyDescent="0.25">
      <c r="A79" s="192" t="s">
        <v>105</v>
      </c>
      <c r="B79" s="132" t="s">
        <v>106</v>
      </c>
      <c r="C79" s="145">
        <f t="shared" ref="C79:I79" si="11">C80+C81+C82+C83+C102</f>
        <v>1272741.46</v>
      </c>
      <c r="D79" s="145">
        <f t="shared" si="11"/>
        <v>1662575.817</v>
      </c>
      <c r="E79" s="145">
        <f t="shared" si="11"/>
        <v>700000</v>
      </c>
      <c r="F79" s="145">
        <f t="shared" si="11"/>
        <v>850000</v>
      </c>
      <c r="G79" s="145">
        <f t="shared" si="11"/>
        <v>510000</v>
      </c>
      <c r="H79" s="145">
        <f t="shared" si="11"/>
        <v>600000</v>
      </c>
      <c r="I79" s="145">
        <f t="shared" si="11"/>
        <v>600000</v>
      </c>
    </row>
    <row r="80" spans="1:10" customFormat="1" ht="15" x14ac:dyDescent="0.2">
      <c r="A80" s="191" t="s">
        <v>107</v>
      </c>
      <c r="B80" s="133" t="s">
        <v>108</v>
      </c>
      <c r="C80" s="31"/>
      <c r="D80" s="31"/>
      <c r="E80" s="31"/>
      <c r="F80" s="146">
        <f>((C80+D80+E80)/3)</f>
        <v>0</v>
      </c>
      <c r="G80" s="146">
        <f>((D80+E80+F80)/3)</f>
        <v>0</v>
      </c>
      <c r="H80" s="146">
        <f>((E80+F80+G80)/3)</f>
        <v>0</v>
      </c>
      <c r="I80" s="146">
        <f>((F80+G80+H80)/3)</f>
        <v>0</v>
      </c>
    </row>
    <row r="81" spans="1:9" s="5" customFormat="1" ht="15" x14ac:dyDescent="0.2">
      <c r="A81" s="191" t="s">
        <v>109</v>
      </c>
      <c r="B81" s="133" t="s">
        <v>110</v>
      </c>
      <c r="C81" s="31"/>
      <c r="D81" s="31">
        <v>499352.81</v>
      </c>
      <c r="E81" s="31"/>
      <c r="F81" s="146">
        <v>300000</v>
      </c>
      <c r="G81" s="146"/>
      <c r="H81" s="146"/>
      <c r="I81" s="146"/>
    </row>
    <row r="82" spans="1:9" customFormat="1" ht="15" x14ac:dyDescent="0.2">
      <c r="A82" s="191" t="s">
        <v>111</v>
      </c>
      <c r="B82" s="133" t="s">
        <v>112</v>
      </c>
      <c r="C82" s="31"/>
      <c r="D82" s="31"/>
      <c r="E82" s="31"/>
      <c r="F82" s="146">
        <f>((C82+D82+E82)/3)*(1+Parâmetros!C11)</f>
        <v>0</v>
      </c>
      <c r="G82" s="146">
        <f>((D82+E82+F82)/3)*(1+Parâmetros!D11)</f>
        <v>0</v>
      </c>
      <c r="H82" s="146">
        <f>((E82+F82+G82)/3)*(1+Parâmetros!E11)</f>
        <v>0</v>
      </c>
      <c r="I82" s="146">
        <f>((F82+G82+H82)/3)*(1+Parâmetros!F11)</f>
        <v>0</v>
      </c>
    </row>
    <row r="83" spans="1:9" s="5" customFormat="1" x14ac:dyDescent="0.2">
      <c r="A83" s="192" t="s">
        <v>113</v>
      </c>
      <c r="B83" s="132" t="s">
        <v>114</v>
      </c>
      <c r="C83" s="145">
        <f t="shared" ref="C83:I83" si="12">SUM(C84:C101)</f>
        <v>1201061.82</v>
      </c>
      <c r="D83" s="145">
        <f t="shared" si="12"/>
        <v>1163223.007</v>
      </c>
      <c r="E83" s="145">
        <f t="shared" si="12"/>
        <v>700000</v>
      </c>
      <c r="F83" s="145">
        <f t="shared" si="12"/>
        <v>550000</v>
      </c>
      <c r="G83" s="145">
        <f t="shared" si="12"/>
        <v>510000</v>
      </c>
      <c r="H83" s="145">
        <f t="shared" si="12"/>
        <v>600000</v>
      </c>
      <c r="I83" s="145">
        <f t="shared" si="12"/>
        <v>600000</v>
      </c>
    </row>
    <row r="84" spans="1:9" customFormat="1" ht="15" x14ac:dyDescent="0.2">
      <c r="A84" s="191" t="s">
        <v>332</v>
      </c>
      <c r="B84" s="133" t="s">
        <v>387</v>
      </c>
      <c r="C84" s="31"/>
      <c r="D84" s="31">
        <v>200000</v>
      </c>
      <c r="E84" s="31">
        <v>100000</v>
      </c>
      <c r="F84" s="146">
        <v>100000</v>
      </c>
      <c r="G84" s="146">
        <v>10000</v>
      </c>
      <c r="H84" s="146">
        <v>100000</v>
      </c>
      <c r="I84" s="146">
        <v>100000</v>
      </c>
    </row>
    <row r="85" spans="1:9" customFormat="1" ht="15" x14ac:dyDescent="0.2">
      <c r="A85" s="191" t="s">
        <v>333</v>
      </c>
      <c r="B85" s="133" t="s">
        <v>334</v>
      </c>
      <c r="C85" s="31"/>
      <c r="D85" s="31"/>
      <c r="E85" s="31"/>
      <c r="F85" s="146">
        <f t="shared" ref="F85:F95" si="13">((C85+D85+E85)/3)</f>
        <v>0</v>
      </c>
      <c r="G85" s="146">
        <f t="shared" ref="G85:I101" si="14">((D85+E85+F85)/3)</f>
        <v>0</v>
      </c>
      <c r="H85" s="146">
        <f t="shared" si="14"/>
        <v>0</v>
      </c>
      <c r="I85" s="146">
        <f t="shared" si="14"/>
        <v>0</v>
      </c>
    </row>
    <row r="86" spans="1:9" customFormat="1" ht="15" x14ac:dyDescent="0.2">
      <c r="A86" s="191" t="s">
        <v>335</v>
      </c>
      <c r="B86" s="133" t="s">
        <v>336</v>
      </c>
      <c r="C86" s="31"/>
      <c r="D86" s="31"/>
      <c r="E86" s="31"/>
      <c r="F86" s="146">
        <f t="shared" si="13"/>
        <v>0</v>
      </c>
      <c r="G86" s="146">
        <f>((D86+E86+F86)/3)</f>
        <v>0</v>
      </c>
      <c r="H86" s="146">
        <f>((E86+F86+G86)/3)</f>
        <v>0</v>
      </c>
      <c r="I86" s="146">
        <f>((F86+G86+H86)/3)</f>
        <v>0</v>
      </c>
    </row>
    <row r="87" spans="1:9" customFormat="1" ht="15" x14ac:dyDescent="0.2">
      <c r="A87" s="191" t="s">
        <v>337</v>
      </c>
      <c r="B87" s="133" t="s">
        <v>162</v>
      </c>
      <c r="C87" s="31"/>
      <c r="D87" s="31"/>
      <c r="E87" s="31"/>
      <c r="F87" s="146">
        <f t="shared" si="13"/>
        <v>0</v>
      </c>
      <c r="G87" s="146">
        <f t="shared" si="14"/>
        <v>0</v>
      </c>
      <c r="H87" s="146">
        <f t="shared" si="14"/>
        <v>0</v>
      </c>
      <c r="I87" s="146">
        <f t="shared" si="14"/>
        <v>0</v>
      </c>
    </row>
    <row r="88" spans="1:9" customFormat="1" ht="15" x14ac:dyDescent="0.2">
      <c r="A88" s="191" t="s">
        <v>338</v>
      </c>
      <c r="B88" s="133" t="s">
        <v>163</v>
      </c>
      <c r="C88" s="31"/>
      <c r="D88" s="31"/>
      <c r="E88" s="31"/>
      <c r="F88" s="146">
        <f t="shared" si="13"/>
        <v>0</v>
      </c>
      <c r="G88" s="146">
        <f t="shared" si="14"/>
        <v>0</v>
      </c>
      <c r="H88" s="146">
        <f t="shared" si="14"/>
        <v>0</v>
      </c>
      <c r="I88" s="146">
        <f t="shared" si="14"/>
        <v>0</v>
      </c>
    </row>
    <row r="89" spans="1:9" customFormat="1" ht="15" x14ac:dyDescent="0.2">
      <c r="A89" s="191" t="s">
        <v>339</v>
      </c>
      <c r="B89" s="133" t="s">
        <v>340</v>
      </c>
      <c r="C89" s="31"/>
      <c r="D89" s="31"/>
      <c r="E89" s="31"/>
      <c r="F89" s="146">
        <f t="shared" si="13"/>
        <v>0</v>
      </c>
      <c r="G89" s="146">
        <f>((D89+E89+F89)/3)</f>
        <v>0</v>
      </c>
      <c r="H89" s="146">
        <f>((E89+F89+G89)/3)</f>
        <v>0</v>
      </c>
      <c r="I89" s="146">
        <f>((F89+G89+H89)/3)</f>
        <v>0</v>
      </c>
    </row>
    <row r="90" spans="1:9" customFormat="1" ht="15" x14ac:dyDescent="0.2">
      <c r="A90" s="191" t="s">
        <v>345</v>
      </c>
      <c r="B90" s="133" t="s">
        <v>164</v>
      </c>
      <c r="C90" s="31">
        <f>311240</f>
        <v>311240</v>
      </c>
      <c r="D90" s="31">
        <v>287306</v>
      </c>
      <c r="E90" s="31">
        <v>300000</v>
      </c>
      <c r="F90" s="146">
        <v>200000</v>
      </c>
      <c r="G90" s="146">
        <v>250000</v>
      </c>
      <c r="H90" s="146">
        <f t="shared" si="14"/>
        <v>250000</v>
      </c>
      <c r="I90" s="146">
        <v>250000</v>
      </c>
    </row>
    <row r="91" spans="1:9" customFormat="1" ht="15" x14ac:dyDescent="0.2">
      <c r="A91" s="191" t="s">
        <v>341</v>
      </c>
      <c r="B91" s="133" t="s">
        <v>342</v>
      </c>
      <c r="C91" s="31">
        <v>350000</v>
      </c>
      <c r="D91" s="31">
        <v>250000</v>
      </c>
      <c r="E91" s="31">
        <v>200000</v>
      </c>
      <c r="F91" s="146">
        <v>200000</v>
      </c>
      <c r="G91" s="146">
        <v>200000</v>
      </c>
      <c r="H91" s="146">
        <v>200000</v>
      </c>
      <c r="I91" s="146">
        <v>200000</v>
      </c>
    </row>
    <row r="92" spans="1:9" customFormat="1" ht="27.75" customHeight="1" x14ac:dyDescent="0.2">
      <c r="A92" s="191" t="s">
        <v>343</v>
      </c>
      <c r="B92" s="133" t="s">
        <v>388</v>
      </c>
      <c r="C92" s="31"/>
      <c r="D92" s="31"/>
      <c r="E92" s="31"/>
      <c r="F92" s="146">
        <f t="shared" si="13"/>
        <v>0</v>
      </c>
      <c r="G92" s="146">
        <f t="shared" si="14"/>
        <v>0</v>
      </c>
      <c r="H92" s="146">
        <f t="shared" si="14"/>
        <v>0</v>
      </c>
      <c r="I92" s="146">
        <f t="shared" si="14"/>
        <v>0</v>
      </c>
    </row>
    <row r="93" spans="1:9" customFormat="1" ht="18" customHeight="1" x14ac:dyDescent="0.2">
      <c r="A93" s="191" t="s">
        <v>346</v>
      </c>
      <c r="B93" s="133" t="s">
        <v>389</v>
      </c>
      <c r="C93" s="31">
        <v>100000</v>
      </c>
      <c r="D93" s="31">
        <v>425917.00699999998</v>
      </c>
      <c r="E93" s="31">
        <v>100000</v>
      </c>
      <c r="F93" s="146">
        <v>50000</v>
      </c>
      <c r="G93" s="146">
        <v>50000</v>
      </c>
      <c r="H93" s="146">
        <v>50000</v>
      </c>
      <c r="I93" s="146">
        <v>50000</v>
      </c>
    </row>
    <row r="94" spans="1:9" customFormat="1" ht="15" x14ac:dyDescent="0.2">
      <c r="A94" s="191" t="s">
        <v>347</v>
      </c>
      <c r="B94" s="133" t="s">
        <v>390</v>
      </c>
      <c r="C94" s="31"/>
      <c r="D94" s="31"/>
      <c r="E94" s="31"/>
      <c r="F94" s="146">
        <f t="shared" si="13"/>
        <v>0</v>
      </c>
      <c r="G94" s="146">
        <f t="shared" si="14"/>
        <v>0</v>
      </c>
      <c r="H94" s="146">
        <f t="shared" si="14"/>
        <v>0</v>
      </c>
      <c r="I94" s="146">
        <f t="shared" si="14"/>
        <v>0</v>
      </c>
    </row>
    <row r="95" spans="1:9" customFormat="1" ht="15" x14ac:dyDescent="0.2">
      <c r="A95" s="191" t="s">
        <v>348</v>
      </c>
      <c r="B95" s="133" t="s">
        <v>391</v>
      </c>
      <c r="C95" s="31"/>
      <c r="D95" s="31"/>
      <c r="E95" s="31"/>
      <c r="F95" s="146">
        <f t="shared" si="13"/>
        <v>0</v>
      </c>
      <c r="G95" s="146">
        <f>((D95+E95+F95)/3)</f>
        <v>0</v>
      </c>
      <c r="H95" s="146">
        <f>((E95+F95+G95)/3)</f>
        <v>0</v>
      </c>
      <c r="I95" s="146">
        <f>((F95+G95+H95)/3)</f>
        <v>0</v>
      </c>
    </row>
    <row r="96" spans="1:9" customFormat="1" ht="15" x14ac:dyDescent="0.2">
      <c r="A96" s="191" t="s">
        <v>349</v>
      </c>
      <c r="B96" s="133" t="s">
        <v>165</v>
      </c>
      <c r="C96" s="31">
        <v>431821.82</v>
      </c>
      <c r="D96" s="31"/>
      <c r="E96" s="31"/>
      <c r="F96" s="146"/>
      <c r="G96" s="146"/>
      <c r="H96" s="146"/>
      <c r="I96" s="146"/>
    </row>
    <row r="97" spans="1:9" customFormat="1" ht="15" x14ac:dyDescent="0.2">
      <c r="A97" s="191" t="s">
        <v>115</v>
      </c>
      <c r="B97" s="133" t="s">
        <v>87</v>
      </c>
      <c r="C97" s="31"/>
      <c r="D97" s="31"/>
      <c r="E97" s="31"/>
      <c r="F97" s="146">
        <f>((C97+D97+E97)/3)</f>
        <v>0</v>
      </c>
      <c r="G97" s="146">
        <f t="shared" si="14"/>
        <v>0</v>
      </c>
      <c r="H97" s="146">
        <f t="shared" si="14"/>
        <v>0</v>
      </c>
      <c r="I97" s="146">
        <f t="shared" si="14"/>
        <v>0</v>
      </c>
    </row>
    <row r="98" spans="1:9" customFormat="1" ht="15" x14ac:dyDescent="0.2">
      <c r="A98" s="191" t="s">
        <v>116</v>
      </c>
      <c r="B98" s="133" t="s">
        <v>89</v>
      </c>
      <c r="C98" s="31">
        <v>8000</v>
      </c>
      <c r="D98" s="31"/>
      <c r="E98" s="31"/>
      <c r="F98" s="146"/>
      <c r="G98" s="146"/>
      <c r="H98" s="146"/>
      <c r="I98" s="146"/>
    </row>
    <row r="99" spans="1:9" customFormat="1" ht="15" x14ac:dyDescent="0.2">
      <c r="A99" s="191" t="s">
        <v>117</v>
      </c>
      <c r="B99" s="133" t="s">
        <v>90</v>
      </c>
      <c r="C99" s="31"/>
      <c r="D99" s="31"/>
      <c r="E99" s="31"/>
      <c r="F99" s="146">
        <f>((C99+D99+E99)/3)</f>
        <v>0</v>
      </c>
      <c r="G99" s="146">
        <f t="shared" si="14"/>
        <v>0</v>
      </c>
      <c r="H99" s="146">
        <f t="shared" si="14"/>
        <v>0</v>
      </c>
      <c r="I99" s="146">
        <f t="shared" si="14"/>
        <v>0</v>
      </c>
    </row>
    <row r="100" spans="1:9" customFormat="1" ht="15" x14ac:dyDescent="0.2">
      <c r="A100" s="191" t="s">
        <v>118</v>
      </c>
      <c r="B100" s="133" t="s">
        <v>92</v>
      </c>
      <c r="C100" s="31"/>
      <c r="D100" s="31"/>
      <c r="E100" s="31"/>
      <c r="F100" s="146">
        <f>((C100+D100+E100)/3)</f>
        <v>0</v>
      </c>
      <c r="G100" s="146">
        <f t="shared" si="14"/>
        <v>0</v>
      </c>
      <c r="H100" s="146">
        <f t="shared" si="14"/>
        <v>0</v>
      </c>
      <c r="I100" s="146">
        <f t="shared" si="14"/>
        <v>0</v>
      </c>
    </row>
    <row r="101" spans="1:9" customFormat="1" ht="15" x14ac:dyDescent="0.2">
      <c r="A101" s="191" t="s">
        <v>119</v>
      </c>
      <c r="B101" s="133" t="s">
        <v>93</v>
      </c>
      <c r="C101" s="31"/>
      <c r="D101" s="31"/>
      <c r="E101" s="31"/>
      <c r="F101" s="146">
        <f>((C101+D101+E101)/3)</f>
        <v>0</v>
      </c>
      <c r="G101" s="146">
        <f t="shared" si="14"/>
        <v>0</v>
      </c>
      <c r="H101" s="146">
        <f t="shared" si="14"/>
        <v>0</v>
      </c>
      <c r="I101" s="146">
        <f t="shared" si="14"/>
        <v>0</v>
      </c>
    </row>
    <row r="102" spans="1:9" s="5" customFormat="1" x14ac:dyDescent="0.2">
      <c r="A102" s="192" t="s">
        <v>120</v>
      </c>
      <c r="B102" s="132" t="s">
        <v>121</v>
      </c>
      <c r="C102" s="145">
        <f t="shared" ref="C102:I102" si="15">C103+C104</f>
        <v>71679.64</v>
      </c>
      <c r="D102" s="145">
        <f t="shared" si="15"/>
        <v>0</v>
      </c>
      <c r="E102" s="145">
        <f t="shared" si="15"/>
        <v>0</v>
      </c>
      <c r="F102" s="145">
        <f t="shared" si="15"/>
        <v>0</v>
      </c>
      <c r="G102" s="145">
        <f t="shared" si="15"/>
        <v>0</v>
      </c>
      <c r="H102" s="145">
        <f t="shared" si="15"/>
        <v>0</v>
      </c>
      <c r="I102" s="145">
        <f t="shared" si="15"/>
        <v>0</v>
      </c>
    </row>
    <row r="103" spans="1:9" customFormat="1" ht="15" x14ac:dyDescent="0.2">
      <c r="A103" s="191" t="s">
        <v>350</v>
      </c>
      <c r="B103" s="134" t="s">
        <v>392</v>
      </c>
      <c r="C103" s="31"/>
      <c r="D103" s="31"/>
      <c r="E103" s="31"/>
      <c r="F103" s="146">
        <f>((C103+D103+E103)/3)*(1+Parâmetros!C11)</f>
        <v>0</v>
      </c>
      <c r="G103" s="146">
        <f>((D103+E103+F103)/3)*(1+Parâmetros!D11)</f>
        <v>0</v>
      </c>
      <c r="H103" s="146">
        <f>((E103+F103+G103)/3)*(1+Parâmetros!E11)</f>
        <v>0</v>
      </c>
      <c r="I103" s="146">
        <f>((F103+G103+H103)/3)*(1+Parâmetros!F11)</f>
        <v>0</v>
      </c>
    </row>
    <row r="104" spans="1:9" customFormat="1" ht="15" x14ac:dyDescent="0.2">
      <c r="A104" s="191" t="s">
        <v>351</v>
      </c>
      <c r="B104" s="134" t="s">
        <v>352</v>
      </c>
      <c r="C104" s="31">
        <v>71679.64</v>
      </c>
      <c r="D104" s="31"/>
      <c r="E104" s="31"/>
      <c r="F104" s="146"/>
      <c r="G104" s="146"/>
      <c r="H104" s="146"/>
      <c r="I104" s="146"/>
    </row>
    <row r="105" spans="1:9" s="34" customFormat="1" ht="18" x14ac:dyDescent="0.25">
      <c r="A105" s="194" t="s">
        <v>122</v>
      </c>
      <c r="B105" s="132" t="s">
        <v>144</v>
      </c>
      <c r="C105" s="145">
        <f t="shared" ref="C105:I105" si="16">C106+C107</f>
        <v>0</v>
      </c>
      <c r="D105" s="145">
        <f t="shared" si="16"/>
        <v>0</v>
      </c>
      <c r="E105" s="145">
        <f t="shared" si="16"/>
        <v>0</v>
      </c>
      <c r="F105" s="145">
        <f t="shared" si="16"/>
        <v>0</v>
      </c>
      <c r="G105" s="145">
        <f t="shared" si="16"/>
        <v>0</v>
      </c>
      <c r="H105" s="145">
        <f t="shared" si="16"/>
        <v>0</v>
      </c>
      <c r="I105" s="145">
        <f t="shared" si="16"/>
        <v>0</v>
      </c>
    </row>
    <row r="106" spans="1:9" s="34" customFormat="1" ht="18" x14ac:dyDescent="0.25">
      <c r="A106" s="195" t="s">
        <v>122</v>
      </c>
      <c r="B106" s="133" t="s">
        <v>393</v>
      </c>
      <c r="C106" s="31"/>
      <c r="D106" s="31"/>
      <c r="E106" s="31"/>
      <c r="F106" s="146">
        <f>((C106+D106+E106)/3)*(1+Parâmetros!C11)</f>
        <v>0</v>
      </c>
      <c r="G106" s="146">
        <f>((D106+E106+F106)/3)*(1+Parâmetros!D11)</f>
        <v>0</v>
      </c>
      <c r="H106" s="146">
        <f>((E106+F106+G106)/3)*(1+Parâmetros!E11)</f>
        <v>0</v>
      </c>
      <c r="I106" s="146">
        <f>((F106+G106+H106)/3)*(1+Parâmetros!F11)</f>
        <v>0</v>
      </c>
    </row>
    <row r="107" spans="1:9" s="34" customFormat="1" ht="18" x14ac:dyDescent="0.25">
      <c r="A107" s="195" t="s">
        <v>122</v>
      </c>
      <c r="B107" s="133" t="s">
        <v>394</v>
      </c>
      <c r="C107" s="31"/>
      <c r="D107" s="31">
        <v>0</v>
      </c>
      <c r="E107" s="31">
        <v>0</v>
      </c>
      <c r="F107" s="146">
        <f>((C107+D107+E107)/3)*(1+Parâmetros!C11)</f>
        <v>0</v>
      </c>
      <c r="G107" s="146">
        <f>((D107+E107+F107)/3)*(1+Parâmetros!D11)</f>
        <v>0</v>
      </c>
      <c r="H107" s="146">
        <f>((E107+F107+G107)/3)*(1+Parâmetros!E11)</f>
        <v>0</v>
      </c>
      <c r="I107" s="146">
        <f>((F107+G107+H107)/3)*(1+Parâmetros!F11)</f>
        <v>0</v>
      </c>
    </row>
    <row r="108" spans="1:9" s="34" customFormat="1" ht="18" x14ac:dyDescent="0.25">
      <c r="A108" s="192" t="s">
        <v>123</v>
      </c>
      <c r="B108" s="132" t="s">
        <v>124</v>
      </c>
      <c r="C108" s="145">
        <f t="shared" ref="C108:I108" si="17">C109+C110</f>
        <v>0</v>
      </c>
      <c r="D108" s="145">
        <f t="shared" si="17"/>
        <v>0</v>
      </c>
      <c r="E108" s="145">
        <f t="shared" si="17"/>
        <v>0</v>
      </c>
      <c r="F108" s="145">
        <f t="shared" si="17"/>
        <v>0</v>
      </c>
      <c r="G108" s="145">
        <f t="shared" si="17"/>
        <v>0</v>
      </c>
      <c r="H108" s="145">
        <f t="shared" si="17"/>
        <v>0</v>
      </c>
      <c r="I108" s="145">
        <f t="shared" si="17"/>
        <v>0</v>
      </c>
    </row>
    <row r="109" spans="1:9" s="34" customFormat="1" ht="18" x14ac:dyDescent="0.25">
      <c r="A109" s="191" t="s">
        <v>123</v>
      </c>
      <c r="B109" s="133" t="s">
        <v>395</v>
      </c>
      <c r="C109" s="31">
        <v>0</v>
      </c>
      <c r="D109" s="31">
        <v>0</v>
      </c>
      <c r="E109" s="31">
        <v>0</v>
      </c>
      <c r="F109" s="146">
        <f>((C109+D109+E109)/3)*(1+Parâmetros!C11)</f>
        <v>0</v>
      </c>
      <c r="G109" s="146">
        <f>((D109+E109+F109)/3)*(1+Parâmetros!D11)</f>
        <v>0</v>
      </c>
      <c r="H109" s="146">
        <f>((E109+F109+G109)/3)*(1+Parâmetros!E11)</f>
        <v>0</v>
      </c>
      <c r="I109" s="146">
        <f>((F109+G109+H109)/3)*(1+Parâmetros!F11)</f>
        <v>0</v>
      </c>
    </row>
    <row r="110" spans="1:9" s="34" customFormat="1" ht="18" x14ac:dyDescent="0.25">
      <c r="A110" s="191" t="s">
        <v>123</v>
      </c>
      <c r="B110" s="133" t="s">
        <v>396</v>
      </c>
      <c r="C110" s="31">
        <v>0</v>
      </c>
      <c r="D110" s="31">
        <v>0</v>
      </c>
      <c r="E110" s="31">
        <v>0</v>
      </c>
      <c r="F110" s="146">
        <f>((C110+D110+E110)/3)*(1+Parâmetros!C11)</f>
        <v>0</v>
      </c>
      <c r="G110" s="146">
        <f>((D110+E110+F110)/3)*(1+Parâmetros!D11)</f>
        <v>0</v>
      </c>
      <c r="H110" s="146">
        <f>((E110+F110+G110)/3)*(1+Parâmetros!E11)</f>
        <v>0</v>
      </c>
      <c r="I110" s="146">
        <f>((F110+G110+H110)/3)*(1+Parâmetros!F11)</f>
        <v>0</v>
      </c>
    </row>
    <row r="111" spans="1:9" s="8" customFormat="1" ht="30.75" customHeight="1" x14ac:dyDescent="0.25">
      <c r="A111" s="192" t="s">
        <v>353</v>
      </c>
      <c r="B111" s="132" t="s">
        <v>409</v>
      </c>
      <c r="C111" s="145">
        <f t="shared" ref="C111:I111" si="18">C112+C113+C114+C115</f>
        <v>-3524860.5600000005</v>
      </c>
      <c r="D111" s="145">
        <f t="shared" si="18"/>
        <v>-4155727.932</v>
      </c>
      <c r="E111" s="145">
        <f t="shared" si="18"/>
        <v>-4312800</v>
      </c>
      <c r="F111" s="145">
        <f t="shared" si="18"/>
        <v>-4435205.3272799999</v>
      </c>
      <c r="G111" s="145">
        <f t="shared" si="18"/>
        <v>-4705770.5930653894</v>
      </c>
      <c r="H111" s="145">
        <f t="shared" si="18"/>
        <v>-4985161.6047168663</v>
      </c>
      <c r="I111" s="145">
        <f t="shared" si="18"/>
        <v>-5279615.1600610735</v>
      </c>
    </row>
    <row r="112" spans="1:9" customFormat="1" x14ac:dyDescent="0.2">
      <c r="A112" s="192" t="s">
        <v>353</v>
      </c>
      <c r="B112" s="133" t="s">
        <v>410</v>
      </c>
      <c r="C112" s="27"/>
      <c r="D112" s="27"/>
      <c r="E112" s="27"/>
      <c r="F112" s="146"/>
      <c r="G112" s="146"/>
      <c r="H112" s="146"/>
      <c r="I112" s="146"/>
    </row>
    <row r="113" spans="1:177" customFormat="1" x14ac:dyDescent="0.2">
      <c r="A113" s="192" t="s">
        <v>353</v>
      </c>
      <c r="B113" s="133" t="s">
        <v>125</v>
      </c>
      <c r="C113" s="147">
        <f t="shared" ref="C113:I113" si="19">-(C38+C40+C53+C54+C55+C64)*0.2</f>
        <v>-3524860.5600000005</v>
      </c>
      <c r="D113" s="147">
        <f t="shared" si="19"/>
        <v>-4089413.932</v>
      </c>
      <c r="E113" s="147">
        <f t="shared" si="19"/>
        <v>-4312800</v>
      </c>
      <c r="F113" s="147">
        <f t="shared" si="19"/>
        <v>-4435205.3272799999</v>
      </c>
      <c r="G113" s="147">
        <f t="shared" si="19"/>
        <v>-4705770.5930653894</v>
      </c>
      <c r="H113" s="147">
        <f t="shared" si="19"/>
        <v>-4985161.6047168663</v>
      </c>
      <c r="I113" s="147">
        <f t="shared" si="19"/>
        <v>-5279615.1600610735</v>
      </c>
    </row>
    <row r="114" spans="1:177" customFormat="1" x14ac:dyDescent="0.2">
      <c r="A114" s="192" t="s">
        <v>353</v>
      </c>
      <c r="B114" s="133" t="s">
        <v>411</v>
      </c>
      <c r="C114" s="27"/>
      <c r="D114" s="27">
        <v>-66314</v>
      </c>
      <c r="E114" s="27"/>
      <c r="F114" s="146"/>
      <c r="G114" s="146"/>
      <c r="H114" s="146"/>
      <c r="I114" s="146"/>
      <c r="K114" s="217"/>
      <c r="L114" s="217"/>
      <c r="M114" s="217"/>
      <c r="N114" s="217"/>
    </row>
    <row r="115" spans="1:177" customFormat="1" x14ac:dyDescent="0.2">
      <c r="A115" s="192" t="s">
        <v>353</v>
      </c>
      <c r="B115" s="133" t="s">
        <v>412</v>
      </c>
      <c r="C115" s="27">
        <v>0</v>
      </c>
      <c r="D115" s="27">
        <v>0</v>
      </c>
      <c r="E115" s="27">
        <v>0</v>
      </c>
      <c r="F115" s="146">
        <f>((C115+D115+E115)/3)*(1+Parâmetros!C11)</f>
        <v>0</v>
      </c>
      <c r="G115" s="146">
        <f>((D115+E115+F115)/3)*(1+Parâmetros!D11)</f>
        <v>0</v>
      </c>
      <c r="H115" s="146">
        <f>((E115+F115+G115)/3)*(1+Parâmetros!E11)</f>
        <v>0</v>
      </c>
      <c r="I115" s="146">
        <f>((F115+G115+H115)/3)*(1+Parâmetros!F11)</f>
        <v>0</v>
      </c>
    </row>
    <row r="116" spans="1:177" s="7" customFormat="1" ht="25.5" customHeight="1" x14ac:dyDescent="0.25">
      <c r="A116" s="196"/>
      <c r="B116" s="135" t="s">
        <v>361</v>
      </c>
      <c r="C116" s="147">
        <f t="shared" ref="C116:I116" si="20">C8+C79+C105+C108+C111</f>
        <v>25733237.399999999</v>
      </c>
      <c r="D116" s="147">
        <f t="shared" si="20"/>
        <v>29107819.145000007</v>
      </c>
      <c r="E116" s="147">
        <f t="shared" si="20"/>
        <v>30055485</v>
      </c>
      <c r="F116" s="147">
        <f t="shared" si="20"/>
        <v>30900000.004722826</v>
      </c>
      <c r="G116" s="147">
        <f t="shared" si="20"/>
        <v>32200000.000746116</v>
      </c>
      <c r="H116" s="147">
        <f t="shared" si="20"/>
        <v>34000000.003946528</v>
      </c>
      <c r="I116" s="147">
        <f t="shared" si="20"/>
        <v>35799999.999337606</v>
      </c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  <c r="BF116" s="43"/>
      <c r="BG116" s="43"/>
      <c r="BH116" s="43"/>
      <c r="BI116" s="43"/>
      <c r="BJ116" s="43"/>
      <c r="BK116" s="43"/>
      <c r="BL116" s="43"/>
      <c r="BM116" s="43"/>
      <c r="BN116" s="43"/>
      <c r="BO116" s="43"/>
      <c r="BP116" s="43"/>
      <c r="BQ116" s="43"/>
      <c r="BR116" s="43"/>
      <c r="BS116" s="43"/>
      <c r="BT116" s="43"/>
      <c r="BU116" s="43"/>
      <c r="BV116" s="43"/>
      <c r="BW116" s="43"/>
      <c r="BX116" s="43"/>
      <c r="BY116" s="43"/>
      <c r="BZ116" s="43"/>
      <c r="CA116" s="43"/>
      <c r="CB116" s="43"/>
      <c r="CC116" s="43"/>
      <c r="CD116" s="43"/>
      <c r="CE116" s="43"/>
      <c r="CF116" s="43"/>
      <c r="CG116" s="43"/>
      <c r="CH116" s="43"/>
      <c r="CI116" s="43"/>
      <c r="CJ116" s="43"/>
      <c r="CK116" s="43"/>
      <c r="CL116" s="43"/>
      <c r="CM116" s="43"/>
      <c r="CN116" s="43"/>
      <c r="CO116" s="43"/>
      <c r="CP116" s="43"/>
      <c r="CQ116" s="43"/>
      <c r="CR116" s="43"/>
      <c r="CS116" s="43"/>
      <c r="CT116" s="43"/>
      <c r="CU116" s="43"/>
      <c r="CV116" s="43"/>
      <c r="CW116" s="43"/>
      <c r="CX116" s="43"/>
      <c r="CY116" s="43"/>
      <c r="CZ116" s="43"/>
      <c r="DA116" s="43"/>
      <c r="DB116" s="43"/>
      <c r="DC116" s="43"/>
      <c r="DD116" s="43"/>
      <c r="DE116" s="43"/>
      <c r="DF116" s="43"/>
      <c r="DG116" s="43"/>
      <c r="DH116" s="43"/>
      <c r="DI116" s="43"/>
      <c r="DJ116" s="43"/>
      <c r="DK116" s="43"/>
      <c r="DL116" s="43"/>
      <c r="DM116" s="43"/>
      <c r="DN116" s="43"/>
      <c r="DO116" s="43"/>
      <c r="DP116" s="43"/>
      <c r="DQ116" s="43"/>
      <c r="DR116" s="43"/>
      <c r="DS116" s="43"/>
      <c r="DT116" s="43"/>
      <c r="DU116" s="43"/>
      <c r="DV116" s="43"/>
      <c r="DW116" s="43"/>
      <c r="DX116" s="43"/>
      <c r="DY116" s="43"/>
      <c r="DZ116" s="43"/>
      <c r="EA116" s="43"/>
      <c r="EB116" s="43"/>
      <c r="EC116" s="43"/>
      <c r="ED116" s="43"/>
      <c r="EE116" s="43"/>
      <c r="EF116" s="43"/>
      <c r="EG116" s="43"/>
      <c r="EH116" s="43"/>
      <c r="EI116" s="43"/>
      <c r="EJ116" s="43"/>
      <c r="EK116" s="43"/>
      <c r="EL116" s="43"/>
      <c r="EM116" s="43"/>
      <c r="EN116" s="43"/>
      <c r="EO116" s="43"/>
      <c r="EP116" s="43"/>
      <c r="EQ116" s="43"/>
      <c r="ER116" s="43"/>
      <c r="ES116" s="43"/>
      <c r="ET116" s="43"/>
      <c r="EU116" s="43"/>
      <c r="EV116" s="43"/>
      <c r="EW116" s="43"/>
      <c r="EX116" s="43"/>
      <c r="EY116" s="43"/>
      <c r="EZ116" s="43"/>
      <c r="FA116" s="43"/>
      <c r="FB116" s="43"/>
      <c r="FC116" s="43"/>
      <c r="FD116" s="43"/>
      <c r="FE116" s="43"/>
      <c r="FF116" s="43"/>
      <c r="FG116" s="43"/>
      <c r="FH116" s="43"/>
      <c r="FI116" s="43"/>
      <c r="FJ116" s="43"/>
      <c r="FK116" s="43"/>
      <c r="FL116" s="43"/>
      <c r="FM116" s="43"/>
      <c r="FN116" s="43"/>
      <c r="FO116" s="43"/>
      <c r="FP116" s="43"/>
      <c r="FQ116" s="43"/>
      <c r="FR116" s="43"/>
      <c r="FS116" s="43"/>
      <c r="FT116" s="43"/>
      <c r="FU116" s="43"/>
    </row>
    <row r="117" spans="1:177" s="7" customFormat="1" ht="25.5" customHeight="1" x14ac:dyDescent="0.25">
      <c r="A117" s="197"/>
      <c r="B117" s="136"/>
      <c r="C117" s="148"/>
      <c r="D117" s="148"/>
      <c r="E117" s="148"/>
      <c r="F117" s="148"/>
      <c r="G117" s="148"/>
      <c r="H117" s="148"/>
      <c r="I117" s="148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43"/>
      <c r="AM117" s="43"/>
      <c r="AN117" s="43"/>
      <c r="AO117" s="43"/>
      <c r="AP117" s="43"/>
      <c r="AQ117" s="43"/>
      <c r="AR117" s="43"/>
      <c r="AS117" s="4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  <c r="BF117" s="43"/>
      <c r="BG117" s="43"/>
      <c r="BH117" s="43"/>
      <c r="BI117" s="43"/>
      <c r="BJ117" s="43"/>
      <c r="BK117" s="43"/>
      <c r="BL117" s="43"/>
      <c r="BM117" s="43"/>
      <c r="BN117" s="43"/>
      <c r="BO117" s="43"/>
      <c r="BP117" s="43"/>
      <c r="BQ117" s="43"/>
      <c r="BR117" s="43"/>
      <c r="BS117" s="43"/>
      <c r="BT117" s="43"/>
      <c r="BU117" s="43"/>
      <c r="BV117" s="43"/>
      <c r="BW117" s="43"/>
      <c r="BX117" s="43"/>
      <c r="BY117" s="43"/>
      <c r="BZ117" s="43"/>
      <c r="CA117" s="43"/>
      <c r="CB117" s="43"/>
      <c r="CC117" s="43"/>
      <c r="CD117" s="43"/>
      <c r="CE117" s="43"/>
      <c r="CF117" s="43"/>
      <c r="CG117" s="43"/>
      <c r="CH117" s="43"/>
      <c r="CI117" s="43"/>
      <c r="CJ117" s="43"/>
      <c r="CK117" s="43"/>
      <c r="CL117" s="43"/>
      <c r="CM117" s="43"/>
      <c r="CN117" s="43"/>
      <c r="CO117" s="43"/>
      <c r="CP117" s="43"/>
      <c r="CQ117" s="43"/>
      <c r="CR117" s="43"/>
      <c r="CS117" s="43"/>
      <c r="CT117" s="43"/>
      <c r="CU117" s="43"/>
      <c r="CV117" s="43"/>
      <c r="CW117" s="43"/>
      <c r="CX117" s="43"/>
      <c r="CY117" s="43"/>
      <c r="CZ117" s="43"/>
      <c r="DA117" s="43"/>
      <c r="DB117" s="43"/>
      <c r="DC117" s="43"/>
      <c r="DD117" s="43"/>
      <c r="DE117" s="43"/>
      <c r="DF117" s="43"/>
      <c r="DG117" s="43"/>
      <c r="DH117" s="43"/>
      <c r="DI117" s="43"/>
      <c r="DJ117" s="43"/>
      <c r="DK117" s="43"/>
      <c r="DL117" s="43"/>
      <c r="DM117" s="43"/>
      <c r="DN117" s="43"/>
      <c r="DO117" s="43"/>
      <c r="DP117" s="43"/>
      <c r="DQ117" s="43"/>
      <c r="DR117" s="43"/>
      <c r="DS117" s="43"/>
      <c r="DT117" s="43"/>
      <c r="DU117" s="43"/>
      <c r="DV117" s="43"/>
      <c r="DW117" s="43"/>
      <c r="DX117" s="43"/>
      <c r="DY117" s="43"/>
      <c r="DZ117" s="43"/>
      <c r="EA117" s="43"/>
      <c r="EB117" s="43"/>
      <c r="EC117" s="43"/>
      <c r="ED117" s="43"/>
      <c r="EE117" s="43"/>
      <c r="EF117" s="43"/>
      <c r="EG117" s="43"/>
      <c r="EH117" s="43"/>
      <c r="EI117" s="43"/>
      <c r="EJ117" s="43"/>
      <c r="EK117" s="43"/>
      <c r="EL117" s="43"/>
      <c r="EM117" s="43"/>
      <c r="EN117" s="43"/>
      <c r="EO117" s="43"/>
      <c r="EP117" s="43"/>
      <c r="EQ117" s="43"/>
      <c r="ER117" s="43"/>
      <c r="ES117" s="43"/>
      <c r="ET117" s="43"/>
      <c r="EU117" s="43"/>
      <c r="EV117" s="43"/>
      <c r="EW117" s="43"/>
      <c r="EX117" s="43"/>
      <c r="EY117" s="43"/>
      <c r="EZ117" s="43"/>
      <c r="FA117" s="43"/>
      <c r="FB117" s="43"/>
      <c r="FC117" s="43"/>
      <c r="FD117" s="43"/>
      <c r="FE117" s="43"/>
      <c r="FF117" s="43"/>
      <c r="FG117" s="43"/>
      <c r="FH117" s="43"/>
      <c r="FI117" s="43"/>
      <c r="FJ117" s="43"/>
      <c r="FK117" s="43"/>
      <c r="FL117" s="43"/>
      <c r="FM117" s="43"/>
      <c r="FN117" s="43"/>
      <c r="FO117" s="43"/>
      <c r="FP117" s="43"/>
      <c r="FQ117" s="43"/>
      <c r="FR117" s="43"/>
      <c r="FS117" s="43"/>
      <c r="FT117" s="43"/>
      <c r="FU117" s="43"/>
    </row>
    <row r="118" spans="1:177" s="7" customFormat="1" ht="25.5" customHeight="1" x14ac:dyDescent="0.25">
      <c r="A118" s="197"/>
      <c r="B118" s="136" t="s">
        <v>260</v>
      </c>
      <c r="C118" s="149">
        <f t="shared" ref="C118:I118" si="21">C7</f>
        <v>2023</v>
      </c>
      <c r="D118" s="149">
        <f t="shared" si="21"/>
        <v>2024</v>
      </c>
      <c r="E118" s="149">
        <f t="shared" si="21"/>
        <v>2025</v>
      </c>
      <c r="F118" s="149">
        <f t="shared" si="21"/>
        <v>2026</v>
      </c>
      <c r="G118" s="149">
        <f t="shared" si="21"/>
        <v>2027</v>
      </c>
      <c r="H118" s="149">
        <f t="shared" si="21"/>
        <v>2028</v>
      </c>
      <c r="I118" s="149">
        <f t="shared" si="21"/>
        <v>2029</v>
      </c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43"/>
      <c r="AM118" s="43"/>
      <c r="AN118" s="43"/>
      <c r="AO118" s="43"/>
      <c r="AP118" s="43"/>
      <c r="AQ118" s="43"/>
      <c r="AR118" s="43"/>
      <c r="AS118" s="4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  <c r="BF118" s="43"/>
      <c r="BG118" s="43"/>
      <c r="BH118" s="43"/>
      <c r="BI118" s="43"/>
      <c r="BJ118" s="43"/>
      <c r="BK118" s="43"/>
      <c r="BL118" s="43"/>
      <c r="BM118" s="43"/>
      <c r="BN118" s="43"/>
      <c r="BO118" s="43"/>
      <c r="BP118" s="43"/>
      <c r="BQ118" s="43"/>
      <c r="BR118" s="43"/>
      <c r="BS118" s="43"/>
      <c r="BT118" s="43"/>
      <c r="BU118" s="43"/>
      <c r="BV118" s="43"/>
      <c r="BW118" s="43"/>
      <c r="BX118" s="43"/>
      <c r="BY118" s="43"/>
      <c r="BZ118" s="43"/>
      <c r="CA118" s="43"/>
      <c r="CB118" s="43"/>
      <c r="CC118" s="43"/>
      <c r="CD118" s="43"/>
      <c r="CE118" s="43"/>
      <c r="CF118" s="43"/>
      <c r="CG118" s="43"/>
      <c r="CH118" s="43"/>
      <c r="CI118" s="43"/>
      <c r="CJ118" s="43"/>
      <c r="CK118" s="43"/>
      <c r="CL118" s="43"/>
      <c r="CM118" s="43"/>
      <c r="CN118" s="43"/>
      <c r="CO118" s="43"/>
      <c r="CP118" s="43"/>
      <c r="CQ118" s="43"/>
      <c r="CR118" s="43"/>
      <c r="CS118" s="43"/>
      <c r="CT118" s="43"/>
      <c r="CU118" s="43"/>
      <c r="CV118" s="43"/>
      <c r="CW118" s="43"/>
      <c r="CX118" s="43"/>
      <c r="CY118" s="43"/>
      <c r="CZ118" s="43"/>
      <c r="DA118" s="43"/>
      <c r="DB118" s="43"/>
      <c r="DC118" s="43"/>
      <c r="DD118" s="43"/>
      <c r="DE118" s="43"/>
      <c r="DF118" s="43"/>
      <c r="DG118" s="43"/>
      <c r="DH118" s="43"/>
      <c r="DI118" s="43"/>
      <c r="DJ118" s="43"/>
      <c r="DK118" s="43"/>
      <c r="DL118" s="43"/>
      <c r="DM118" s="43"/>
      <c r="DN118" s="43"/>
      <c r="DO118" s="43"/>
      <c r="DP118" s="43"/>
      <c r="DQ118" s="43"/>
      <c r="DR118" s="43"/>
      <c r="DS118" s="43"/>
      <c r="DT118" s="43"/>
      <c r="DU118" s="43"/>
      <c r="DV118" s="43"/>
      <c r="DW118" s="43"/>
      <c r="DX118" s="43"/>
      <c r="DY118" s="43"/>
      <c r="DZ118" s="43"/>
      <c r="EA118" s="43"/>
      <c r="EB118" s="43"/>
      <c r="EC118" s="43"/>
      <c r="ED118" s="43"/>
      <c r="EE118" s="43"/>
      <c r="EF118" s="43"/>
      <c r="EG118" s="43"/>
      <c r="EH118" s="43"/>
      <c r="EI118" s="43"/>
      <c r="EJ118" s="43"/>
      <c r="EK118" s="43"/>
      <c r="EL118" s="43"/>
      <c r="EM118" s="43"/>
      <c r="EN118" s="43"/>
      <c r="EO118" s="43"/>
      <c r="EP118" s="43"/>
      <c r="EQ118" s="43"/>
      <c r="ER118" s="43"/>
      <c r="ES118" s="43"/>
      <c r="ET118" s="43"/>
      <c r="EU118" s="43"/>
      <c r="EV118" s="43"/>
      <c r="EW118" s="43"/>
      <c r="EX118" s="43"/>
      <c r="EY118" s="43"/>
      <c r="EZ118" s="43"/>
      <c r="FA118" s="43"/>
      <c r="FB118" s="43"/>
      <c r="FC118" s="43"/>
      <c r="FD118" s="43"/>
      <c r="FE118" s="43"/>
      <c r="FF118" s="43"/>
      <c r="FG118" s="43"/>
      <c r="FH118" s="43"/>
      <c r="FI118" s="43"/>
      <c r="FJ118" s="43"/>
      <c r="FK118" s="43"/>
      <c r="FL118" s="43"/>
      <c r="FM118" s="43"/>
      <c r="FN118" s="43"/>
      <c r="FO118" s="43"/>
      <c r="FP118" s="43"/>
      <c r="FQ118" s="43"/>
      <c r="FR118" s="43"/>
      <c r="FS118" s="43"/>
      <c r="FT118" s="43"/>
      <c r="FU118" s="43"/>
    </row>
    <row r="119" spans="1:177" s="7" customFormat="1" ht="25.5" customHeight="1" x14ac:dyDescent="0.25">
      <c r="A119" s="197"/>
      <c r="B119" s="137" t="s">
        <v>261</v>
      </c>
      <c r="C119" s="150">
        <v>321969.91999999998</v>
      </c>
      <c r="D119" s="150">
        <v>384345.98</v>
      </c>
      <c r="E119" s="150">
        <v>350000</v>
      </c>
      <c r="F119" s="146">
        <f>((C119+D119+E119)/3)*(1+Parâmetros!C11)</f>
        <v>368196.51221000002</v>
      </c>
      <c r="G119" s="146">
        <f>((F119))*(1+Parâmetros!D11)</f>
        <v>382998.01200084202</v>
      </c>
      <c r="H119" s="146">
        <f>((G119))*(1+Parâmetros!E11)</f>
        <v>397781.73526407452</v>
      </c>
      <c r="I119" s="146">
        <f>((H119))*(1+Parâmetros!F11)</f>
        <v>413016.7757246886</v>
      </c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43"/>
      <c r="AM119" s="43"/>
      <c r="AN119" s="43"/>
      <c r="AO119" s="43"/>
      <c r="AP119" s="43"/>
      <c r="AQ119" s="43"/>
      <c r="AR119" s="43"/>
      <c r="AS119" s="4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  <c r="BF119" s="43"/>
      <c r="BG119" s="43"/>
      <c r="BH119" s="43"/>
      <c r="BI119" s="43"/>
      <c r="BJ119" s="43"/>
      <c r="BK119" s="43"/>
      <c r="BL119" s="43"/>
      <c r="BM119" s="43"/>
      <c r="BN119" s="43"/>
      <c r="BO119" s="43"/>
      <c r="BP119" s="43"/>
      <c r="BQ119" s="43"/>
      <c r="BR119" s="43"/>
      <c r="BS119" s="43"/>
      <c r="BT119" s="43"/>
      <c r="BU119" s="43"/>
      <c r="BV119" s="43"/>
      <c r="BW119" s="43"/>
      <c r="BX119" s="43"/>
      <c r="BY119" s="43"/>
      <c r="BZ119" s="43"/>
      <c r="CA119" s="43"/>
      <c r="CB119" s="43"/>
      <c r="CC119" s="43"/>
      <c r="CD119" s="43"/>
      <c r="CE119" s="43"/>
      <c r="CF119" s="43"/>
      <c r="CG119" s="43"/>
      <c r="CH119" s="43"/>
      <c r="CI119" s="43"/>
      <c r="CJ119" s="43"/>
      <c r="CK119" s="43"/>
      <c r="CL119" s="43"/>
      <c r="CM119" s="43"/>
      <c r="CN119" s="43"/>
      <c r="CO119" s="43"/>
      <c r="CP119" s="43"/>
      <c r="CQ119" s="43"/>
      <c r="CR119" s="43"/>
      <c r="CS119" s="43"/>
      <c r="CT119" s="43"/>
      <c r="CU119" s="43"/>
      <c r="CV119" s="43"/>
      <c r="CW119" s="43"/>
      <c r="CX119" s="43"/>
      <c r="CY119" s="43"/>
      <c r="CZ119" s="43"/>
      <c r="DA119" s="43"/>
      <c r="DB119" s="43"/>
      <c r="DC119" s="43"/>
      <c r="DD119" s="43"/>
      <c r="DE119" s="43"/>
      <c r="DF119" s="43"/>
      <c r="DG119" s="43"/>
      <c r="DH119" s="43"/>
      <c r="DI119" s="43"/>
      <c r="DJ119" s="43"/>
      <c r="DK119" s="43"/>
      <c r="DL119" s="43"/>
      <c r="DM119" s="43"/>
      <c r="DN119" s="43"/>
      <c r="DO119" s="43"/>
      <c r="DP119" s="43"/>
      <c r="DQ119" s="43"/>
      <c r="DR119" s="43"/>
      <c r="DS119" s="43"/>
      <c r="DT119" s="43"/>
      <c r="DU119" s="43"/>
      <c r="DV119" s="43"/>
      <c r="DW119" s="43"/>
      <c r="DX119" s="43"/>
      <c r="DY119" s="43"/>
      <c r="DZ119" s="43"/>
      <c r="EA119" s="43"/>
      <c r="EB119" s="43"/>
      <c r="EC119" s="43"/>
      <c r="ED119" s="43"/>
      <c r="EE119" s="43"/>
      <c r="EF119" s="43"/>
      <c r="EG119" s="43"/>
      <c r="EH119" s="43"/>
      <c r="EI119" s="43"/>
      <c r="EJ119" s="43"/>
      <c r="EK119" s="43"/>
      <c r="EL119" s="43"/>
      <c r="EM119" s="43"/>
      <c r="EN119" s="43"/>
      <c r="EO119" s="43"/>
      <c r="EP119" s="43"/>
      <c r="EQ119" s="43"/>
      <c r="ER119" s="43"/>
      <c r="ES119" s="43"/>
      <c r="ET119" s="43"/>
      <c r="EU119" s="43"/>
      <c r="EV119" s="43"/>
      <c r="EW119" s="43"/>
      <c r="EX119" s="43"/>
      <c r="EY119" s="43"/>
      <c r="EZ119" s="43"/>
      <c r="FA119" s="43"/>
      <c r="FB119" s="43"/>
      <c r="FC119" s="43"/>
      <c r="FD119" s="43"/>
      <c r="FE119" s="43"/>
      <c r="FF119" s="43"/>
      <c r="FG119" s="43"/>
      <c r="FH119" s="43"/>
      <c r="FI119" s="43"/>
      <c r="FJ119" s="43"/>
      <c r="FK119" s="43"/>
      <c r="FL119" s="43"/>
      <c r="FM119" s="43"/>
      <c r="FN119" s="43"/>
      <c r="FO119" s="43"/>
      <c r="FP119" s="43"/>
      <c r="FQ119" s="43"/>
      <c r="FR119" s="43"/>
      <c r="FS119" s="43"/>
      <c r="FT119" s="43"/>
      <c r="FU119" s="43"/>
    </row>
    <row r="120" spans="1:177" customFormat="1" ht="15" x14ac:dyDescent="0.2">
      <c r="A120" s="198"/>
      <c r="B120" s="29"/>
      <c r="C120" s="30"/>
      <c r="D120" s="30"/>
      <c r="E120" s="30"/>
      <c r="F120" s="30"/>
      <c r="G120" s="44"/>
      <c r="H120" s="44"/>
      <c r="I120" s="44"/>
    </row>
    <row r="121" spans="1:177" customFormat="1" ht="15" x14ac:dyDescent="0.2">
      <c r="A121" s="198"/>
      <c r="B121" s="29"/>
      <c r="C121" s="30"/>
      <c r="D121" s="30"/>
      <c r="E121" s="30"/>
      <c r="F121" s="30"/>
      <c r="G121" s="44"/>
      <c r="H121" s="44"/>
      <c r="I121" s="44"/>
    </row>
    <row r="122" spans="1:177" customFormat="1" x14ac:dyDescent="0.25">
      <c r="A122" s="261" t="str">
        <f>Parâmetros!A7</f>
        <v>Município de Arroio do Padre / RS</v>
      </c>
      <c r="B122" s="260"/>
      <c r="C122" s="260"/>
      <c r="D122" s="260"/>
      <c r="E122" s="260"/>
      <c r="F122" s="260"/>
      <c r="G122" s="260"/>
      <c r="H122" s="260"/>
      <c r="I122" s="260"/>
    </row>
    <row r="123" spans="1:177" customFormat="1" x14ac:dyDescent="0.25">
      <c r="A123" s="260" t="str">
        <f>Parâmetros!A8</f>
        <v>PLANO PLURIANUAL 2026 - 2029</v>
      </c>
      <c r="B123" s="260"/>
      <c r="C123" s="260"/>
      <c r="D123" s="260"/>
      <c r="E123" s="260"/>
      <c r="F123" s="260"/>
      <c r="G123" s="260"/>
      <c r="H123" s="260"/>
      <c r="I123" s="260"/>
    </row>
    <row r="124" spans="1:177" s="218" customFormat="1" x14ac:dyDescent="0.25">
      <c r="A124" s="258" t="s">
        <v>405</v>
      </c>
      <c r="B124" s="260"/>
      <c r="C124" s="260"/>
      <c r="D124" s="260"/>
      <c r="E124" s="260"/>
      <c r="F124" s="260"/>
      <c r="G124" s="260"/>
      <c r="H124" s="260"/>
      <c r="I124" s="260"/>
    </row>
    <row r="125" spans="1:177" customFormat="1" ht="15" x14ac:dyDescent="0.2">
      <c r="A125" s="198"/>
      <c r="B125" s="29"/>
      <c r="C125" s="30"/>
      <c r="D125" s="30"/>
      <c r="E125" s="30"/>
      <c r="F125" s="30"/>
      <c r="G125" s="44"/>
      <c r="H125" s="44"/>
      <c r="I125" s="14" t="s">
        <v>28</v>
      </c>
    </row>
    <row r="126" spans="1:177" s="1" customFormat="1" x14ac:dyDescent="0.25">
      <c r="A126" s="151"/>
      <c r="B126" s="152" t="s">
        <v>0</v>
      </c>
      <c r="C126" s="182" t="s">
        <v>294</v>
      </c>
      <c r="D126" s="182" t="s">
        <v>294</v>
      </c>
      <c r="E126" s="182" t="s">
        <v>385</v>
      </c>
      <c r="F126" s="183" t="s">
        <v>281</v>
      </c>
      <c r="G126" s="183" t="s">
        <v>281</v>
      </c>
      <c r="H126" s="184" t="s">
        <v>281</v>
      </c>
      <c r="I126" s="185" t="s">
        <v>281</v>
      </c>
    </row>
    <row r="127" spans="1:177" s="1" customFormat="1" ht="27.75" customHeight="1" x14ac:dyDescent="0.25">
      <c r="A127" s="153"/>
      <c r="B127" s="154" t="s">
        <v>3</v>
      </c>
      <c r="C127" s="186">
        <f>C7</f>
        <v>2023</v>
      </c>
      <c r="D127" s="187">
        <f t="shared" ref="D127:I127" si="22">C127+1</f>
        <v>2024</v>
      </c>
      <c r="E127" s="187">
        <f t="shared" si="22"/>
        <v>2025</v>
      </c>
      <c r="F127" s="187">
        <f t="shared" si="22"/>
        <v>2026</v>
      </c>
      <c r="G127" s="187">
        <f t="shared" si="22"/>
        <v>2027</v>
      </c>
      <c r="H127" s="187">
        <f t="shared" si="22"/>
        <v>2028</v>
      </c>
      <c r="I127" s="187">
        <f t="shared" si="22"/>
        <v>2029</v>
      </c>
    </row>
    <row r="128" spans="1:177" s="35" customFormat="1" x14ac:dyDescent="0.25">
      <c r="A128" s="155" t="s">
        <v>166</v>
      </c>
      <c r="B128" s="156" t="s">
        <v>167</v>
      </c>
      <c r="C128" s="161">
        <f t="shared" ref="C128:I128" si="23">SUM(C129:C134)</f>
        <v>11267126.560000001</v>
      </c>
      <c r="D128" s="161">
        <f t="shared" si="23"/>
        <v>11646361.43</v>
      </c>
      <c r="E128" s="161">
        <f t="shared" si="23"/>
        <v>12810997.572999999</v>
      </c>
      <c r="F128" s="161">
        <f t="shared" si="23"/>
        <v>13866019.570794811</v>
      </c>
      <c r="G128" s="161">
        <f t="shared" si="23"/>
        <v>14796512.179821849</v>
      </c>
      <c r="H128" s="161">
        <f t="shared" si="23"/>
        <v>15531339.132289618</v>
      </c>
      <c r="I128" s="161">
        <f t="shared" si="23"/>
        <v>16545293.912378274</v>
      </c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41"/>
      <c r="AM128" s="41"/>
      <c r="AN128" s="41"/>
      <c r="AO128" s="41"/>
      <c r="AP128" s="41"/>
      <c r="AQ128" s="41"/>
      <c r="AR128" s="41"/>
      <c r="AS128" s="41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  <c r="BF128" s="41"/>
      <c r="BG128" s="41"/>
      <c r="BH128" s="41"/>
      <c r="BI128" s="41"/>
      <c r="BJ128" s="41"/>
      <c r="BK128" s="41"/>
      <c r="BL128" s="41"/>
      <c r="BM128" s="41"/>
      <c r="BN128" s="41"/>
      <c r="BO128" s="41"/>
      <c r="BP128" s="41"/>
      <c r="BQ128" s="41"/>
      <c r="BR128" s="41"/>
      <c r="BS128" s="41"/>
      <c r="BT128" s="41"/>
      <c r="BU128" s="41"/>
      <c r="BV128" s="41"/>
      <c r="BW128" s="41"/>
      <c r="BX128" s="41"/>
      <c r="BY128" s="41"/>
      <c r="BZ128" s="41"/>
      <c r="CA128" s="41"/>
      <c r="CB128" s="41"/>
      <c r="CC128" s="41"/>
      <c r="CD128" s="41"/>
      <c r="CE128" s="41"/>
      <c r="CF128" s="41"/>
      <c r="CG128" s="41"/>
      <c r="CH128" s="41"/>
      <c r="CI128" s="41"/>
      <c r="CJ128" s="41"/>
      <c r="CK128" s="41"/>
      <c r="CL128" s="41"/>
      <c r="CM128" s="41"/>
      <c r="CN128" s="41"/>
      <c r="CO128" s="41"/>
      <c r="CP128" s="41"/>
      <c r="CQ128" s="41"/>
      <c r="CR128" s="41"/>
      <c r="CS128" s="41"/>
      <c r="CT128" s="41"/>
      <c r="CU128" s="41"/>
      <c r="CV128" s="41"/>
      <c r="CW128" s="41"/>
      <c r="CX128" s="41"/>
      <c r="CY128" s="41"/>
      <c r="CZ128" s="41"/>
      <c r="DA128" s="41"/>
      <c r="DB128" s="41"/>
      <c r="DC128" s="41"/>
      <c r="DD128" s="41"/>
      <c r="DE128" s="41"/>
      <c r="DF128" s="41"/>
      <c r="DG128" s="41"/>
      <c r="DH128" s="41"/>
      <c r="DI128" s="41"/>
      <c r="DJ128" s="41"/>
      <c r="DK128" s="41"/>
      <c r="DL128" s="41"/>
      <c r="DM128" s="41"/>
      <c r="DN128" s="41"/>
      <c r="DO128" s="41"/>
      <c r="DP128" s="41"/>
      <c r="DQ128" s="41"/>
      <c r="DR128" s="41"/>
      <c r="DS128" s="41"/>
      <c r="DT128" s="41"/>
      <c r="DU128" s="41"/>
      <c r="DV128" s="41"/>
      <c r="DW128" s="41"/>
      <c r="DX128" s="41"/>
      <c r="DY128" s="41"/>
      <c r="DZ128" s="41"/>
      <c r="EA128" s="41"/>
      <c r="EB128" s="41"/>
      <c r="EC128" s="41"/>
      <c r="ED128" s="41"/>
      <c r="EE128" s="41"/>
      <c r="EF128" s="41"/>
      <c r="EG128" s="41"/>
      <c r="EH128" s="41"/>
      <c r="EI128" s="41"/>
      <c r="EJ128" s="41"/>
      <c r="EK128" s="41"/>
      <c r="EL128" s="41"/>
      <c r="EM128" s="41"/>
      <c r="EN128" s="41"/>
      <c r="EO128" s="41"/>
      <c r="EP128" s="41"/>
      <c r="EQ128" s="41"/>
      <c r="ER128" s="41"/>
      <c r="ES128" s="41"/>
      <c r="ET128" s="41"/>
      <c r="EU128" s="41"/>
      <c r="EV128" s="41"/>
      <c r="EW128" s="41"/>
      <c r="EX128" s="41"/>
      <c r="EY128" s="41"/>
      <c r="EZ128" s="41"/>
      <c r="FA128" s="41"/>
      <c r="FB128" s="41"/>
      <c r="FC128" s="41"/>
      <c r="FD128" s="41"/>
      <c r="FE128" s="41"/>
      <c r="FF128" s="41"/>
      <c r="FG128" s="41"/>
      <c r="FH128" s="41"/>
      <c r="FI128" s="41"/>
      <c r="FJ128" s="41"/>
      <c r="FK128" s="41"/>
      <c r="FL128" s="41"/>
      <c r="FM128" s="41"/>
      <c r="FN128" s="41"/>
      <c r="FO128" s="41"/>
      <c r="FP128" s="41"/>
      <c r="FQ128" s="41"/>
      <c r="FR128" s="41"/>
      <c r="FS128" s="41"/>
      <c r="FT128" s="41"/>
      <c r="FU128" s="41"/>
    </row>
    <row r="129" spans="1:177" s="35" customFormat="1" ht="15" x14ac:dyDescent="0.2">
      <c r="A129" s="157"/>
      <c r="B129" s="158" t="s">
        <v>168</v>
      </c>
      <c r="C129" s="56">
        <v>537235.42000000004</v>
      </c>
      <c r="D129" s="56">
        <v>503275.15</v>
      </c>
      <c r="E129" s="56">
        <f>D129*1.1</f>
        <v>553602.66500000004</v>
      </c>
      <c r="F129" s="146">
        <f>((C129+D129+E129)/3)*(1+Parâmetros!C11)*(1+Parâmetros!C13)*(1+Parâmetros!C19)*1.05</f>
        <v>618735.44058717659</v>
      </c>
      <c r="G129" s="146">
        <f>((D129+E129+F129)/3)*(1+Parâmetros!D11)*(1+Parâmetros!D13)*(1+Parâmetros!D19)*1.05</f>
        <v>646947.96929830173</v>
      </c>
      <c r="H129" s="146">
        <f>((E129+F129+G129)/3)*(1+Parâmetros!E11)*(1+Parâmetros!E13)*(1+Parâmetros!E19)*1.05</f>
        <v>681300.80725028517</v>
      </c>
      <c r="I129" s="146">
        <f>((F129+G129+H129)/3)*(1+Parâmetros!F11)*(1+Parâmetros!F13)*(1+Parâmetros!F19)*1.05</f>
        <v>728911.62217095424</v>
      </c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  <c r="AM129" s="41"/>
      <c r="AN129" s="41"/>
      <c r="AO129" s="41"/>
      <c r="AP129" s="41"/>
      <c r="AQ129" s="41"/>
      <c r="AR129" s="41"/>
      <c r="AS129" s="41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  <c r="BF129" s="41"/>
      <c r="BG129" s="41"/>
      <c r="BH129" s="41"/>
      <c r="BI129" s="41"/>
      <c r="BJ129" s="41"/>
      <c r="BK129" s="41"/>
      <c r="BL129" s="41"/>
      <c r="BM129" s="41"/>
      <c r="BN129" s="41"/>
      <c r="BO129" s="41"/>
      <c r="BP129" s="41"/>
      <c r="BQ129" s="41"/>
      <c r="BR129" s="41"/>
      <c r="BS129" s="41"/>
      <c r="BT129" s="41"/>
      <c r="BU129" s="41"/>
      <c r="BV129" s="41"/>
      <c r="BW129" s="41"/>
      <c r="BX129" s="41"/>
      <c r="BY129" s="41"/>
      <c r="BZ129" s="41"/>
      <c r="CA129" s="41"/>
      <c r="CB129" s="41"/>
      <c r="CC129" s="41"/>
      <c r="CD129" s="41"/>
      <c r="CE129" s="41"/>
      <c r="CF129" s="41"/>
      <c r="CG129" s="41"/>
      <c r="CH129" s="41"/>
      <c r="CI129" s="41"/>
      <c r="CJ129" s="41"/>
      <c r="CK129" s="41"/>
      <c r="CL129" s="41"/>
      <c r="CM129" s="41"/>
      <c r="CN129" s="41"/>
      <c r="CO129" s="41"/>
      <c r="CP129" s="41"/>
      <c r="CQ129" s="41"/>
      <c r="CR129" s="41"/>
      <c r="CS129" s="41"/>
      <c r="CT129" s="41"/>
      <c r="CU129" s="41"/>
      <c r="CV129" s="41"/>
      <c r="CW129" s="41"/>
      <c r="CX129" s="41"/>
      <c r="CY129" s="41"/>
      <c r="CZ129" s="41"/>
      <c r="DA129" s="41"/>
      <c r="DB129" s="41"/>
      <c r="DC129" s="41"/>
      <c r="DD129" s="41"/>
      <c r="DE129" s="41"/>
      <c r="DF129" s="41"/>
      <c r="DG129" s="41"/>
      <c r="DH129" s="41"/>
      <c r="DI129" s="41"/>
      <c r="DJ129" s="41"/>
      <c r="DK129" s="41"/>
      <c r="DL129" s="41"/>
      <c r="DM129" s="41"/>
      <c r="DN129" s="41"/>
      <c r="DO129" s="41"/>
      <c r="DP129" s="41"/>
      <c r="DQ129" s="41"/>
      <c r="DR129" s="41"/>
      <c r="DS129" s="41"/>
      <c r="DT129" s="41"/>
      <c r="DU129" s="41"/>
      <c r="DV129" s="41"/>
      <c r="DW129" s="41"/>
      <c r="DX129" s="41"/>
      <c r="DY129" s="41"/>
      <c r="DZ129" s="41"/>
      <c r="EA129" s="41"/>
      <c r="EB129" s="41"/>
      <c r="EC129" s="41"/>
      <c r="ED129" s="41"/>
      <c r="EE129" s="41"/>
      <c r="EF129" s="41"/>
      <c r="EG129" s="41"/>
      <c r="EH129" s="41"/>
      <c r="EI129" s="41"/>
      <c r="EJ129" s="41"/>
      <c r="EK129" s="41"/>
      <c r="EL129" s="41"/>
      <c r="EM129" s="41"/>
      <c r="EN129" s="41"/>
      <c r="EO129" s="41"/>
      <c r="EP129" s="41"/>
      <c r="EQ129" s="41"/>
      <c r="ER129" s="41"/>
      <c r="ES129" s="41"/>
      <c r="ET129" s="41"/>
      <c r="EU129" s="41"/>
      <c r="EV129" s="41"/>
      <c r="EW129" s="41"/>
      <c r="EX129" s="41"/>
      <c r="EY129" s="41"/>
      <c r="EZ129" s="41"/>
      <c r="FA129" s="41"/>
      <c r="FB129" s="41"/>
      <c r="FC129" s="41"/>
      <c r="FD129" s="41"/>
      <c r="FE129" s="41"/>
      <c r="FF129" s="41"/>
      <c r="FG129" s="41"/>
      <c r="FH129" s="41"/>
      <c r="FI129" s="41"/>
      <c r="FJ129" s="41"/>
      <c r="FK129" s="41"/>
      <c r="FL129" s="41"/>
      <c r="FM129" s="41"/>
      <c r="FN129" s="41"/>
      <c r="FO129" s="41"/>
      <c r="FP129" s="41"/>
      <c r="FQ129" s="41"/>
      <c r="FR129" s="41"/>
      <c r="FS129" s="41"/>
      <c r="FT129" s="41"/>
      <c r="FU129" s="41"/>
    </row>
    <row r="130" spans="1:177" s="6" customFormat="1" ht="15" x14ac:dyDescent="0.2">
      <c r="A130" s="157"/>
      <c r="B130" s="158" t="s">
        <v>197</v>
      </c>
      <c r="C130" s="56">
        <f>2781681.88+649253.44</f>
        <v>3430935.32</v>
      </c>
      <c r="D130" s="56">
        <f>2849230.39+820324.32</f>
        <v>3669554.71</v>
      </c>
      <c r="E130" s="56">
        <f>D130*1.1</f>
        <v>4036510.1810000003</v>
      </c>
      <c r="F130" s="146">
        <f>((C130+D130+E130)/3)*(1+Parâmetros!C11)*(1+Parâmetros!C13)*(1+Parâmetros!C18)*1.05</f>
        <v>4322689.6189545542</v>
      </c>
      <c r="G130" s="146">
        <f>((D130+E130+F130)/3)*(1+Parâmetros!D11)*(1+Parâmetros!D13)*(1+Parâmetros!D18)*1.05</f>
        <v>4644256.8280327246</v>
      </c>
      <c r="H130" s="146">
        <f>((E130+F130+G130)/3)*(1+Parâmetros!E11)*(1+Parâmetros!E13)*(1+Parâmetros!E18)*1.05</f>
        <v>4869638.491708613</v>
      </c>
      <c r="I130" s="146">
        <f>((F130+G130+H130)/3)*(1+Parâmetros!F11)*(1+Parâmetros!F13)*(1+Parâmetros!F18)*1.05</f>
        <v>5180138.3309661131</v>
      </c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  <c r="AM130" s="41"/>
      <c r="AN130" s="41"/>
      <c r="AO130" s="41"/>
      <c r="AP130" s="41"/>
      <c r="AQ130" s="41"/>
      <c r="AR130" s="41"/>
      <c r="AS130" s="41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  <c r="BF130" s="41"/>
      <c r="BG130" s="41"/>
      <c r="BH130" s="41"/>
      <c r="BI130" s="41"/>
      <c r="BJ130" s="41"/>
      <c r="BK130" s="41"/>
      <c r="BL130" s="41"/>
      <c r="BM130" s="41"/>
      <c r="BN130" s="41"/>
      <c r="BO130" s="41"/>
      <c r="BP130" s="41"/>
      <c r="BQ130" s="41"/>
      <c r="BR130" s="41"/>
      <c r="BS130" s="41"/>
      <c r="BT130" s="41"/>
      <c r="BU130" s="41"/>
      <c r="BV130" s="41"/>
      <c r="BW130" s="41"/>
      <c r="BX130" s="41"/>
      <c r="BY130" s="41"/>
      <c r="BZ130" s="41"/>
      <c r="CA130" s="41"/>
      <c r="CB130" s="41"/>
      <c r="CC130" s="41"/>
      <c r="CD130" s="41"/>
      <c r="CE130" s="41"/>
      <c r="CF130" s="41"/>
      <c r="CG130" s="41"/>
      <c r="CH130" s="41"/>
      <c r="CI130" s="41"/>
      <c r="CJ130" s="41"/>
      <c r="CK130" s="41"/>
      <c r="CL130" s="41"/>
      <c r="CM130" s="41"/>
      <c r="CN130" s="41"/>
      <c r="CO130" s="41"/>
      <c r="CP130" s="41"/>
      <c r="CQ130" s="41"/>
      <c r="CR130" s="41"/>
      <c r="CS130" s="41"/>
      <c r="CT130" s="41"/>
      <c r="CU130" s="41"/>
      <c r="CV130" s="41"/>
      <c r="CW130" s="41"/>
      <c r="CX130" s="41"/>
      <c r="CY130" s="41"/>
      <c r="CZ130" s="41"/>
      <c r="DA130" s="41"/>
      <c r="DB130" s="41"/>
      <c r="DC130" s="41"/>
      <c r="DD130" s="41"/>
      <c r="DE130" s="41"/>
      <c r="DF130" s="41"/>
      <c r="DG130" s="41"/>
      <c r="DH130" s="41"/>
      <c r="DI130" s="41"/>
      <c r="DJ130" s="41"/>
      <c r="DK130" s="41"/>
      <c r="DL130" s="41"/>
      <c r="DM130" s="41"/>
      <c r="DN130" s="41"/>
      <c r="DO130" s="41"/>
      <c r="DP130" s="41"/>
      <c r="DQ130" s="41"/>
      <c r="DR130" s="41"/>
      <c r="DS130" s="41"/>
      <c r="DT130" s="41"/>
      <c r="DU130" s="41"/>
      <c r="DV130" s="41"/>
      <c r="DW130" s="41"/>
      <c r="DX130" s="41"/>
      <c r="DY130" s="41"/>
      <c r="DZ130" s="41"/>
      <c r="EA130" s="41"/>
      <c r="EB130" s="41"/>
      <c r="EC130" s="41"/>
      <c r="ED130" s="41"/>
      <c r="EE130" s="41"/>
      <c r="EF130" s="41"/>
      <c r="EG130" s="41"/>
      <c r="EH130" s="41"/>
      <c r="EI130" s="41"/>
      <c r="EJ130" s="41"/>
      <c r="EK130" s="41"/>
      <c r="EL130" s="41"/>
      <c r="EM130" s="41"/>
      <c r="EN130" s="41"/>
      <c r="EO130" s="41"/>
      <c r="EP130" s="41"/>
      <c r="EQ130" s="41"/>
      <c r="ER130" s="41"/>
      <c r="ES130" s="41"/>
      <c r="ET130" s="41"/>
      <c r="EU130" s="41"/>
      <c r="EV130" s="41"/>
      <c r="EW130" s="41"/>
      <c r="EX130" s="41"/>
      <c r="EY130" s="41"/>
      <c r="EZ130" s="41"/>
      <c r="FA130" s="41"/>
      <c r="FB130" s="41"/>
      <c r="FC130" s="41"/>
      <c r="FD130" s="41"/>
      <c r="FE130" s="41"/>
      <c r="FF130" s="41"/>
      <c r="FG130" s="41"/>
      <c r="FH130" s="41"/>
      <c r="FI130" s="41"/>
      <c r="FJ130" s="41"/>
      <c r="FK130" s="41"/>
      <c r="FL130" s="41"/>
      <c r="FM130" s="41"/>
      <c r="FN130" s="41"/>
      <c r="FO130" s="41"/>
      <c r="FP130" s="41"/>
      <c r="FQ130" s="41"/>
      <c r="FR130" s="41"/>
      <c r="FS130" s="41"/>
      <c r="FT130" s="41"/>
      <c r="FU130" s="41"/>
    </row>
    <row r="131" spans="1:177" s="6" customFormat="1" ht="15" x14ac:dyDescent="0.2">
      <c r="A131" s="157"/>
      <c r="B131" s="158" t="s">
        <v>198</v>
      </c>
      <c r="C131" s="56">
        <v>3942042.97</v>
      </c>
      <c r="D131" s="242">
        <v>3958983.21</v>
      </c>
      <c r="E131" s="56">
        <f>D131*1.1</f>
        <v>4354881.5310000004</v>
      </c>
      <c r="F131" s="146">
        <f>((C131+D131+E131)/3)*(1+Parâmetros!C11)*(1+Parâmetros!C13)*(1+Parâmetros!C18)*1.05</f>
        <v>4756979.7997200359</v>
      </c>
      <c r="G131" s="146">
        <f>((D131+E131+F131)/3)*(1+Parâmetros!D11)*(1+Parâmetros!D13)*(1+Parâmetros!D18)*1.05</f>
        <v>5046603.8654423105</v>
      </c>
      <c r="H131" s="146">
        <f>((E131+F131+G131)/3)*(1+Parâmetros!E11)*(1+Parâmetros!E13)*(1+Parâmetros!E18)*1.05</f>
        <v>5302175.3426973764</v>
      </c>
      <c r="I131" s="146">
        <f>((F131+G131+H131)/3)*(1+Parâmetros!F11)*(1+Parâmetros!F13)*(1+Parâmetros!F18)*1.05</f>
        <v>5655291.5044892514</v>
      </c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  <c r="AS131" s="41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  <c r="BF131" s="41"/>
      <c r="BG131" s="41"/>
      <c r="BH131" s="41"/>
      <c r="BI131" s="41"/>
      <c r="BJ131" s="41"/>
      <c r="BK131" s="41"/>
      <c r="BL131" s="41"/>
      <c r="BM131" s="41"/>
      <c r="BN131" s="41"/>
      <c r="BO131" s="41"/>
      <c r="BP131" s="41"/>
      <c r="BQ131" s="41"/>
      <c r="BR131" s="41"/>
      <c r="BS131" s="41"/>
      <c r="BT131" s="41"/>
      <c r="BU131" s="41"/>
      <c r="BV131" s="41"/>
      <c r="BW131" s="41"/>
      <c r="BX131" s="41"/>
      <c r="BY131" s="41"/>
      <c r="BZ131" s="41"/>
      <c r="CA131" s="41"/>
      <c r="CB131" s="41"/>
      <c r="CC131" s="41"/>
      <c r="CD131" s="41"/>
      <c r="CE131" s="41"/>
      <c r="CF131" s="41"/>
      <c r="CG131" s="41"/>
      <c r="CH131" s="41"/>
      <c r="CI131" s="41"/>
      <c r="CJ131" s="41"/>
      <c r="CK131" s="41"/>
      <c r="CL131" s="41"/>
      <c r="CM131" s="41"/>
      <c r="CN131" s="41"/>
      <c r="CO131" s="41"/>
      <c r="CP131" s="41"/>
      <c r="CQ131" s="41"/>
      <c r="CR131" s="41"/>
      <c r="CS131" s="41"/>
      <c r="CT131" s="41"/>
      <c r="CU131" s="41"/>
      <c r="CV131" s="41"/>
      <c r="CW131" s="41"/>
      <c r="CX131" s="41"/>
      <c r="CY131" s="41"/>
      <c r="CZ131" s="41"/>
      <c r="DA131" s="41"/>
      <c r="DB131" s="41"/>
      <c r="DC131" s="41"/>
      <c r="DD131" s="41"/>
      <c r="DE131" s="41"/>
      <c r="DF131" s="41"/>
      <c r="DG131" s="41"/>
      <c r="DH131" s="41"/>
      <c r="DI131" s="41"/>
      <c r="DJ131" s="41"/>
      <c r="DK131" s="41"/>
      <c r="DL131" s="41"/>
      <c r="DM131" s="41"/>
      <c r="DN131" s="41"/>
      <c r="DO131" s="41"/>
      <c r="DP131" s="41"/>
      <c r="DQ131" s="41"/>
      <c r="DR131" s="41"/>
      <c r="DS131" s="41"/>
      <c r="DT131" s="41"/>
      <c r="DU131" s="41"/>
      <c r="DV131" s="41"/>
      <c r="DW131" s="41"/>
      <c r="DX131" s="41"/>
      <c r="DY131" s="41"/>
      <c r="DZ131" s="41"/>
      <c r="EA131" s="41"/>
      <c r="EB131" s="41"/>
      <c r="EC131" s="41"/>
      <c r="ED131" s="41"/>
      <c r="EE131" s="41"/>
      <c r="EF131" s="41"/>
      <c r="EG131" s="41"/>
      <c r="EH131" s="41"/>
      <c r="EI131" s="41"/>
      <c r="EJ131" s="41"/>
      <c r="EK131" s="41"/>
      <c r="EL131" s="41"/>
      <c r="EM131" s="41"/>
      <c r="EN131" s="41"/>
      <c r="EO131" s="41"/>
      <c r="EP131" s="41"/>
      <c r="EQ131" s="41"/>
      <c r="ER131" s="41"/>
      <c r="ES131" s="41"/>
      <c r="ET131" s="41"/>
      <c r="EU131" s="41"/>
      <c r="EV131" s="41"/>
      <c r="EW131" s="41"/>
      <c r="EX131" s="41"/>
      <c r="EY131" s="41"/>
      <c r="EZ131" s="41"/>
      <c r="FA131" s="41"/>
      <c r="FB131" s="41"/>
      <c r="FC131" s="41"/>
      <c r="FD131" s="41"/>
      <c r="FE131" s="41"/>
      <c r="FF131" s="41"/>
      <c r="FG131" s="41"/>
      <c r="FH131" s="41"/>
      <c r="FI131" s="41"/>
      <c r="FJ131" s="41"/>
      <c r="FK131" s="41"/>
      <c r="FL131" s="41"/>
      <c r="FM131" s="41"/>
      <c r="FN131" s="41"/>
      <c r="FO131" s="41"/>
      <c r="FP131" s="41"/>
      <c r="FQ131" s="41"/>
      <c r="FR131" s="41"/>
      <c r="FS131" s="41"/>
      <c r="FT131" s="41"/>
      <c r="FU131" s="41"/>
    </row>
    <row r="132" spans="1:177" s="6" customFormat="1" ht="14.25" customHeight="1" x14ac:dyDescent="0.2">
      <c r="A132" s="157"/>
      <c r="B132" s="158" t="s">
        <v>169</v>
      </c>
      <c r="C132" s="56">
        <f>235439.2+29824.02</f>
        <v>265263.22000000003</v>
      </c>
      <c r="D132" s="56">
        <f>274349.82+1509.88</f>
        <v>275859.7</v>
      </c>
      <c r="E132" s="56">
        <f>D132*1.1</f>
        <v>303445.67000000004</v>
      </c>
      <c r="F132" s="146">
        <f>((C132+D132+E132)/3)*(1+Parâmetros!C11)*(1+Parâmetros!C13)*(1+Parâmetros!C18)*1.05</f>
        <v>327808.90790342167</v>
      </c>
      <c r="G132" s="146">
        <f>((D132+E132+F132)/3)*(1+Parâmetros!D11)*(1+Parâmetros!D13)*(1+Parâmetros!D18)*1.05</f>
        <v>350233.40741325484</v>
      </c>
      <c r="H132" s="146">
        <f>((E132+F132+G132)/3)*(1+Parâmetros!E11)*(1+Parâmetros!E13)*(1+Parâmetros!E18)*1.05</f>
        <v>367555.47460824758</v>
      </c>
      <c r="I132" s="146">
        <f>((F132+G132+H132)/3)*(1+Parâmetros!F11)*(1+Parâmetros!F13)*(1+Parâmetros!F18)*1.05</f>
        <v>391450.72388606664</v>
      </c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41"/>
      <c r="AL132" s="41"/>
      <c r="AM132" s="41"/>
      <c r="AN132" s="41"/>
      <c r="AO132" s="41"/>
      <c r="AP132" s="41"/>
      <c r="AQ132" s="41"/>
      <c r="AR132" s="41"/>
      <c r="AS132" s="41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  <c r="BF132" s="41"/>
      <c r="BG132" s="41"/>
      <c r="BH132" s="41"/>
      <c r="BI132" s="41"/>
      <c r="BJ132" s="41"/>
      <c r="BK132" s="41"/>
      <c r="BL132" s="41"/>
      <c r="BM132" s="41"/>
      <c r="BN132" s="41"/>
      <c r="BO132" s="41"/>
      <c r="BP132" s="41"/>
      <c r="BQ132" s="41"/>
      <c r="BR132" s="41"/>
      <c r="BS132" s="41"/>
      <c r="BT132" s="41"/>
      <c r="BU132" s="41"/>
      <c r="BV132" s="41"/>
      <c r="BW132" s="41"/>
      <c r="BX132" s="41"/>
      <c r="BY132" s="41"/>
      <c r="BZ132" s="41"/>
      <c r="CA132" s="41"/>
      <c r="CB132" s="41"/>
      <c r="CC132" s="41"/>
      <c r="CD132" s="41"/>
      <c r="CE132" s="41"/>
      <c r="CF132" s="41"/>
      <c r="CG132" s="41"/>
      <c r="CH132" s="41"/>
      <c r="CI132" s="41"/>
      <c r="CJ132" s="41"/>
      <c r="CK132" s="41"/>
      <c r="CL132" s="41"/>
      <c r="CM132" s="41"/>
      <c r="CN132" s="41"/>
      <c r="CO132" s="41"/>
      <c r="CP132" s="41"/>
      <c r="CQ132" s="41"/>
      <c r="CR132" s="41"/>
      <c r="CS132" s="41"/>
      <c r="CT132" s="41"/>
      <c r="CU132" s="41"/>
      <c r="CV132" s="41"/>
      <c r="CW132" s="41"/>
      <c r="CX132" s="41"/>
      <c r="CY132" s="41"/>
      <c r="CZ132" s="41"/>
      <c r="DA132" s="41"/>
      <c r="DB132" s="41"/>
      <c r="DC132" s="41"/>
      <c r="DD132" s="41"/>
      <c r="DE132" s="41"/>
      <c r="DF132" s="41"/>
      <c r="DG132" s="41"/>
      <c r="DH132" s="41"/>
      <c r="DI132" s="41"/>
      <c r="DJ132" s="41"/>
      <c r="DK132" s="41"/>
      <c r="DL132" s="41"/>
      <c r="DM132" s="41"/>
      <c r="DN132" s="41"/>
      <c r="DO132" s="41"/>
      <c r="DP132" s="41"/>
      <c r="DQ132" s="41"/>
      <c r="DR132" s="41"/>
      <c r="DS132" s="41"/>
      <c r="DT132" s="41"/>
      <c r="DU132" s="41"/>
      <c r="DV132" s="41"/>
      <c r="DW132" s="41"/>
      <c r="DX132" s="41"/>
      <c r="DY132" s="41"/>
      <c r="DZ132" s="41"/>
      <c r="EA132" s="41"/>
      <c r="EB132" s="41"/>
      <c r="EC132" s="41"/>
      <c r="ED132" s="41"/>
      <c r="EE132" s="41"/>
      <c r="EF132" s="41"/>
      <c r="EG132" s="41"/>
      <c r="EH132" s="41"/>
      <c r="EI132" s="41"/>
      <c r="EJ132" s="41"/>
      <c r="EK132" s="41"/>
      <c r="EL132" s="41"/>
      <c r="EM132" s="41"/>
      <c r="EN132" s="41"/>
      <c r="EO132" s="41"/>
      <c r="EP132" s="41"/>
      <c r="EQ132" s="41"/>
      <c r="ER132" s="41"/>
      <c r="ES132" s="41"/>
      <c r="ET132" s="41"/>
      <c r="EU132" s="41"/>
      <c r="EV132" s="41"/>
      <c r="EW132" s="41"/>
      <c r="EX132" s="41"/>
      <c r="EY132" s="41"/>
      <c r="EZ132" s="41"/>
      <c r="FA132" s="41"/>
      <c r="FB132" s="41"/>
      <c r="FC132" s="41"/>
      <c r="FD132" s="41"/>
      <c r="FE132" s="41"/>
      <c r="FF132" s="41"/>
      <c r="FG132" s="41"/>
      <c r="FH132" s="41"/>
      <c r="FI132" s="41"/>
      <c r="FJ132" s="41"/>
      <c r="FK132" s="41"/>
      <c r="FL132" s="41"/>
      <c r="FM132" s="41"/>
      <c r="FN132" s="41"/>
      <c r="FO132" s="41"/>
      <c r="FP132" s="41"/>
      <c r="FQ132" s="41"/>
      <c r="FR132" s="41"/>
      <c r="FS132" s="41"/>
      <c r="FT132" s="41"/>
      <c r="FU132" s="41"/>
    </row>
    <row r="133" spans="1:177" s="53" customFormat="1" ht="14.25" customHeight="1" x14ac:dyDescent="0.2">
      <c r="A133" s="157"/>
      <c r="B133" s="158" t="s">
        <v>170</v>
      </c>
      <c r="C133" s="56"/>
      <c r="D133" s="56"/>
      <c r="E133" s="56">
        <f>D133*1.09</f>
        <v>0</v>
      </c>
      <c r="F133" s="146">
        <f>((C133+D133+E133)/3)*(1+Parâmetros!C11)*(1+Parâmetros!C13)*(1+Parâmetros!C18)</f>
        <v>0</v>
      </c>
      <c r="G133" s="146">
        <f>((D133+E133+F133)/3)*(1+Parâmetros!D11)*(1+Parâmetros!D13)*(1+Parâmetros!D18)</f>
        <v>0</v>
      </c>
      <c r="H133" s="146">
        <f>((E133+F133+G133)/3)*(1+Parâmetros!E11)*(1+Parâmetros!E13)*(1+Parâmetros!E18)</f>
        <v>0</v>
      </c>
      <c r="I133" s="146">
        <f>((F133+G133+H133)/3)*(1+Parâmetros!F11)*(1+Parâmetros!F13)*(1+Parâmetros!F18)</f>
        <v>0</v>
      </c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2"/>
      <c r="AG133" s="52"/>
      <c r="AH133" s="52"/>
      <c r="AI133" s="52"/>
      <c r="AJ133" s="52"/>
      <c r="AK133" s="52"/>
      <c r="AL133" s="52"/>
      <c r="AM133" s="52"/>
      <c r="AN133" s="52"/>
      <c r="AO133" s="52"/>
      <c r="AP133" s="52"/>
      <c r="AQ133" s="52"/>
      <c r="AR133" s="52"/>
      <c r="AS133" s="52"/>
      <c r="AT133" s="52"/>
      <c r="AU133" s="52"/>
      <c r="AV133" s="52"/>
      <c r="AW133" s="52"/>
      <c r="AX133" s="52"/>
      <c r="AY133" s="52"/>
      <c r="AZ133" s="52"/>
      <c r="BA133" s="52"/>
      <c r="BB133" s="52"/>
      <c r="BC133" s="52"/>
      <c r="BD133" s="52"/>
      <c r="BE133" s="52"/>
      <c r="BF133" s="52"/>
      <c r="BG133" s="52"/>
      <c r="BH133" s="52"/>
      <c r="BI133" s="52"/>
      <c r="BJ133" s="52"/>
      <c r="BK133" s="52"/>
      <c r="BL133" s="52"/>
      <c r="BM133" s="52"/>
      <c r="BN133" s="52"/>
      <c r="BO133" s="52"/>
      <c r="BP133" s="52"/>
      <c r="BQ133" s="52"/>
      <c r="BR133" s="52"/>
      <c r="BS133" s="52"/>
      <c r="BT133" s="52"/>
      <c r="BU133" s="52"/>
      <c r="BV133" s="52"/>
      <c r="BW133" s="52"/>
      <c r="BX133" s="52"/>
      <c r="BY133" s="52"/>
      <c r="BZ133" s="52"/>
      <c r="CA133" s="52"/>
      <c r="CB133" s="52"/>
      <c r="CC133" s="52"/>
      <c r="CD133" s="52"/>
      <c r="CE133" s="52"/>
      <c r="CF133" s="52"/>
      <c r="CG133" s="52"/>
      <c r="CH133" s="52"/>
      <c r="CI133" s="52"/>
      <c r="CJ133" s="52"/>
      <c r="CK133" s="52"/>
      <c r="CL133" s="52"/>
      <c r="CM133" s="52"/>
      <c r="CN133" s="52"/>
      <c r="CO133" s="52"/>
      <c r="CP133" s="52"/>
      <c r="CQ133" s="52"/>
      <c r="CR133" s="52"/>
      <c r="CS133" s="52"/>
      <c r="CT133" s="52"/>
      <c r="CU133" s="52"/>
      <c r="CV133" s="52"/>
      <c r="CW133" s="52"/>
      <c r="CX133" s="52"/>
      <c r="CY133" s="52"/>
      <c r="CZ133" s="52"/>
      <c r="DA133" s="52"/>
      <c r="DB133" s="52"/>
      <c r="DC133" s="52"/>
      <c r="DD133" s="52"/>
      <c r="DE133" s="52"/>
      <c r="DF133" s="52"/>
      <c r="DG133" s="52"/>
      <c r="DH133" s="52"/>
      <c r="DI133" s="52"/>
      <c r="DJ133" s="52"/>
      <c r="DK133" s="52"/>
      <c r="DL133" s="52"/>
      <c r="DM133" s="52"/>
      <c r="DN133" s="52"/>
      <c r="DO133" s="52"/>
      <c r="DP133" s="52"/>
      <c r="DQ133" s="52"/>
      <c r="DR133" s="52"/>
      <c r="DS133" s="52"/>
      <c r="DT133" s="52"/>
      <c r="DU133" s="52"/>
      <c r="DV133" s="52"/>
      <c r="DW133" s="52"/>
      <c r="DX133" s="52"/>
      <c r="DY133" s="52"/>
      <c r="DZ133" s="52"/>
      <c r="EA133" s="52"/>
      <c r="EB133" s="52"/>
      <c r="EC133" s="52"/>
      <c r="ED133" s="52"/>
      <c r="EE133" s="52"/>
      <c r="EF133" s="52"/>
      <c r="EG133" s="52"/>
      <c r="EH133" s="52"/>
      <c r="EI133" s="52"/>
      <c r="EJ133" s="52"/>
      <c r="EK133" s="52"/>
      <c r="EL133" s="52"/>
      <c r="EM133" s="52"/>
      <c r="EN133" s="52"/>
      <c r="EO133" s="52"/>
      <c r="EP133" s="52"/>
      <c r="EQ133" s="52"/>
      <c r="ER133" s="52"/>
      <c r="ES133" s="52"/>
      <c r="ET133" s="52"/>
      <c r="EU133" s="52"/>
      <c r="EV133" s="52"/>
      <c r="EW133" s="52"/>
      <c r="EX133" s="52"/>
      <c r="EY133" s="52"/>
      <c r="EZ133" s="52"/>
      <c r="FA133" s="52"/>
      <c r="FB133" s="52"/>
      <c r="FC133" s="52"/>
      <c r="FD133" s="52"/>
      <c r="FE133" s="52"/>
      <c r="FF133" s="52"/>
      <c r="FG133" s="52"/>
      <c r="FH133" s="52"/>
      <c r="FI133" s="52"/>
      <c r="FJ133" s="52"/>
      <c r="FK133" s="52"/>
      <c r="FL133" s="52"/>
      <c r="FM133" s="52"/>
      <c r="FN133" s="52"/>
      <c r="FO133" s="52"/>
      <c r="FP133" s="52"/>
      <c r="FQ133" s="52"/>
      <c r="FR133" s="52"/>
      <c r="FS133" s="52"/>
      <c r="FT133" s="52"/>
      <c r="FU133" s="52"/>
    </row>
    <row r="134" spans="1:177" s="53" customFormat="1" ht="14.25" customHeight="1" x14ac:dyDescent="0.2">
      <c r="A134" s="157"/>
      <c r="B134" s="158" t="s">
        <v>171</v>
      </c>
      <c r="C134" s="56">
        <f>10729891.14-(SUM(C130:C132))</f>
        <v>3091649.6300000008</v>
      </c>
      <c r="D134" s="56">
        <f>11143086.28-(SUM(D130:D132))</f>
        <v>3238688.6599999992</v>
      </c>
      <c r="E134" s="56">
        <f>D134*1.1</f>
        <v>3562557.5259999996</v>
      </c>
      <c r="F134" s="146">
        <f>((C134+D134+E134)/3)*(1+Parâmetros!C11)*(1+Parâmetros!C13)*(1+Parâmetros!C18)*1.05</f>
        <v>3839805.8036296237</v>
      </c>
      <c r="G134" s="146">
        <f>((D134+E134+F134)/3)*(1+Parâmetros!D11)*(1+Parâmetros!D13)*(1+Parâmetros!D18)*1.05</f>
        <v>4108470.1096352567</v>
      </c>
      <c r="H134" s="146">
        <f>((E134+F134+G134)/3)*(1+Parâmetros!E11)*(1+Parâmetros!E13)*(1+Parâmetros!E18)*1.05</f>
        <v>4310669.0160250943</v>
      </c>
      <c r="I134" s="146">
        <f>((F134+G134+H134)/3)*(1+Parâmetros!F11)*(1+Parâmetros!F13)*(1+Parâmetros!F18)*1.05</f>
        <v>4589501.7308658874</v>
      </c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2"/>
      <c r="AG134" s="52"/>
      <c r="AH134" s="52"/>
      <c r="AI134" s="52"/>
      <c r="AJ134" s="52"/>
      <c r="AK134" s="52"/>
      <c r="AL134" s="52"/>
      <c r="AM134" s="52"/>
      <c r="AN134" s="52"/>
      <c r="AO134" s="52"/>
      <c r="AP134" s="52"/>
      <c r="AQ134" s="52"/>
      <c r="AR134" s="52"/>
      <c r="AS134" s="52"/>
      <c r="AT134" s="52"/>
      <c r="AU134" s="52"/>
      <c r="AV134" s="52"/>
      <c r="AW134" s="52"/>
      <c r="AX134" s="52"/>
      <c r="AY134" s="52"/>
      <c r="AZ134" s="52"/>
      <c r="BA134" s="52"/>
      <c r="BB134" s="52"/>
      <c r="BC134" s="52"/>
      <c r="BD134" s="52"/>
      <c r="BE134" s="52"/>
      <c r="BF134" s="52"/>
      <c r="BG134" s="52"/>
      <c r="BH134" s="52"/>
      <c r="BI134" s="52"/>
      <c r="BJ134" s="52"/>
      <c r="BK134" s="52"/>
      <c r="BL134" s="52"/>
      <c r="BM134" s="52"/>
      <c r="BN134" s="52"/>
      <c r="BO134" s="52"/>
      <c r="BP134" s="52"/>
      <c r="BQ134" s="52"/>
      <c r="BR134" s="52"/>
      <c r="BS134" s="52"/>
      <c r="BT134" s="52"/>
      <c r="BU134" s="52"/>
      <c r="BV134" s="52"/>
      <c r="BW134" s="52"/>
      <c r="BX134" s="52"/>
      <c r="BY134" s="52"/>
      <c r="BZ134" s="52"/>
      <c r="CA134" s="52"/>
      <c r="CB134" s="52"/>
      <c r="CC134" s="52"/>
      <c r="CD134" s="52"/>
      <c r="CE134" s="52"/>
      <c r="CF134" s="52"/>
      <c r="CG134" s="52"/>
      <c r="CH134" s="52"/>
      <c r="CI134" s="52"/>
      <c r="CJ134" s="52"/>
      <c r="CK134" s="52"/>
      <c r="CL134" s="52"/>
      <c r="CM134" s="52"/>
      <c r="CN134" s="52"/>
      <c r="CO134" s="52"/>
      <c r="CP134" s="52"/>
      <c r="CQ134" s="52"/>
      <c r="CR134" s="52"/>
      <c r="CS134" s="52"/>
      <c r="CT134" s="52"/>
      <c r="CU134" s="52"/>
      <c r="CV134" s="52"/>
      <c r="CW134" s="52"/>
      <c r="CX134" s="52"/>
      <c r="CY134" s="52"/>
      <c r="CZ134" s="52"/>
      <c r="DA134" s="52"/>
      <c r="DB134" s="52"/>
      <c r="DC134" s="52"/>
      <c r="DD134" s="52"/>
      <c r="DE134" s="52"/>
      <c r="DF134" s="52"/>
      <c r="DG134" s="52"/>
      <c r="DH134" s="52"/>
      <c r="DI134" s="52"/>
      <c r="DJ134" s="52"/>
      <c r="DK134" s="52"/>
      <c r="DL134" s="52"/>
      <c r="DM134" s="52"/>
      <c r="DN134" s="52"/>
      <c r="DO134" s="52"/>
      <c r="DP134" s="52"/>
      <c r="DQ134" s="52"/>
      <c r="DR134" s="52"/>
      <c r="DS134" s="52"/>
      <c r="DT134" s="52"/>
      <c r="DU134" s="52"/>
      <c r="DV134" s="52"/>
      <c r="DW134" s="52"/>
      <c r="DX134" s="52"/>
      <c r="DY134" s="52"/>
      <c r="DZ134" s="52"/>
      <c r="EA134" s="52"/>
      <c r="EB134" s="52"/>
      <c r="EC134" s="52"/>
      <c r="ED134" s="52"/>
      <c r="EE134" s="52"/>
      <c r="EF134" s="52"/>
      <c r="EG134" s="52"/>
      <c r="EH134" s="52"/>
      <c r="EI134" s="52"/>
      <c r="EJ134" s="52"/>
      <c r="EK134" s="52"/>
      <c r="EL134" s="52"/>
      <c r="EM134" s="52"/>
      <c r="EN134" s="52"/>
      <c r="EO134" s="52"/>
      <c r="EP134" s="52"/>
      <c r="EQ134" s="52"/>
      <c r="ER134" s="52"/>
      <c r="ES134" s="52"/>
      <c r="ET134" s="52"/>
      <c r="EU134" s="52"/>
      <c r="EV134" s="52"/>
      <c r="EW134" s="52"/>
      <c r="EX134" s="52"/>
      <c r="EY134" s="52"/>
      <c r="EZ134" s="52"/>
      <c r="FA134" s="52"/>
      <c r="FB134" s="52"/>
      <c r="FC134" s="52"/>
      <c r="FD134" s="52"/>
      <c r="FE134" s="52"/>
      <c r="FF134" s="52"/>
      <c r="FG134" s="52"/>
      <c r="FH134" s="52"/>
      <c r="FI134" s="52"/>
      <c r="FJ134" s="52"/>
      <c r="FK134" s="52"/>
      <c r="FL134" s="52"/>
      <c r="FM134" s="52"/>
      <c r="FN134" s="52"/>
      <c r="FO134" s="52"/>
      <c r="FP134" s="52"/>
      <c r="FQ134" s="52"/>
      <c r="FR134" s="52"/>
      <c r="FS134" s="52"/>
      <c r="FT134" s="52"/>
      <c r="FU134" s="52"/>
    </row>
    <row r="135" spans="1:177" s="36" customFormat="1" x14ac:dyDescent="0.25">
      <c r="A135" s="155" t="s">
        <v>172</v>
      </c>
      <c r="B135" s="156" t="s">
        <v>173</v>
      </c>
      <c r="C135" s="243">
        <f t="shared" ref="C135:I135" si="24">SUM(C136:C141)</f>
        <v>0</v>
      </c>
      <c r="D135" s="243">
        <f t="shared" si="24"/>
        <v>0</v>
      </c>
      <c r="E135" s="243">
        <f t="shared" si="24"/>
        <v>0</v>
      </c>
      <c r="F135" s="161">
        <f t="shared" si="24"/>
        <v>0</v>
      </c>
      <c r="G135" s="161">
        <f t="shared" si="24"/>
        <v>0</v>
      </c>
      <c r="H135" s="161">
        <f t="shared" si="24"/>
        <v>0</v>
      </c>
      <c r="I135" s="161">
        <f t="shared" si="24"/>
        <v>0</v>
      </c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</row>
    <row r="136" spans="1:177" customFormat="1" ht="15" x14ac:dyDescent="0.2">
      <c r="A136" s="157"/>
      <c r="B136" s="158" t="s">
        <v>174</v>
      </c>
      <c r="C136" s="56"/>
      <c r="D136" s="56"/>
      <c r="E136" s="56"/>
      <c r="F136" s="146">
        <f>((C136+D136+E136)/3)*(1+Parâmetros!C11)</f>
        <v>0</v>
      </c>
      <c r="G136" s="146">
        <f>((D136+E136+F136)/3)*(1+Parâmetros!D11)</f>
        <v>0</v>
      </c>
      <c r="H136" s="146">
        <f>((E136+F136+G136)/3)*(1+Parâmetros!E11)</f>
        <v>0</v>
      </c>
      <c r="I136" s="146">
        <f>((F136+G136+H136)/3)*(1+Parâmetros!F11)</f>
        <v>0</v>
      </c>
    </row>
    <row r="137" spans="1:177" customFormat="1" ht="15" x14ac:dyDescent="0.2">
      <c r="A137" s="157"/>
      <c r="B137" s="158" t="s">
        <v>175</v>
      </c>
      <c r="C137" s="56"/>
      <c r="D137" s="56"/>
      <c r="E137" s="56"/>
      <c r="F137" s="146">
        <f>((C137+D137+E137)/3)*(1+Parâmetros!C11)</f>
        <v>0</v>
      </c>
      <c r="G137" s="146">
        <f>((D137+E137+F137)/3)*(1+Parâmetros!D11)</f>
        <v>0</v>
      </c>
      <c r="H137" s="146">
        <f>((E137+F137+G137)/3)*(1+Parâmetros!E11)</f>
        <v>0</v>
      </c>
      <c r="I137" s="146">
        <f>((F137+G137+H137)/3)*(1+Parâmetros!F11)</f>
        <v>0</v>
      </c>
    </row>
    <row r="138" spans="1:177" customFormat="1" ht="15" x14ac:dyDescent="0.2">
      <c r="A138" s="157"/>
      <c r="B138" s="158" t="s">
        <v>176</v>
      </c>
      <c r="C138" s="56"/>
      <c r="D138" s="56"/>
      <c r="E138" s="56"/>
      <c r="F138" s="146">
        <f>((C138+D138+E138)/3)*(1+Parâmetros!C11)</f>
        <v>0</v>
      </c>
      <c r="G138" s="146">
        <f>((D138+E138+F138)/3)*(1+Parâmetros!D11)</f>
        <v>0</v>
      </c>
      <c r="H138" s="146">
        <f>((E138+F138+G138)/3)*(1+Parâmetros!E11)</f>
        <v>0</v>
      </c>
      <c r="I138" s="146">
        <f>((F138+G138+H138)/3)*(1+Parâmetros!F11)</f>
        <v>0</v>
      </c>
    </row>
    <row r="139" spans="1:177" customFormat="1" ht="15" x14ac:dyDescent="0.2">
      <c r="A139" s="157"/>
      <c r="B139" s="158" t="s">
        <v>177</v>
      </c>
      <c r="C139" s="56"/>
      <c r="D139" s="56"/>
      <c r="E139" s="56"/>
      <c r="F139" s="146">
        <f>((C139+D139+E139)/3)*(1+Parâmetros!C11)</f>
        <v>0</v>
      </c>
      <c r="G139" s="146">
        <f>((D139+E139+F139)/3)*(1+Parâmetros!D11)</f>
        <v>0</v>
      </c>
      <c r="H139" s="146">
        <f>((E139+F139+G139)/3)*(1+Parâmetros!E11)</f>
        <v>0</v>
      </c>
      <c r="I139" s="146">
        <f>((F139+G139+H139)/3)*(1+Parâmetros!F11)</f>
        <v>0</v>
      </c>
    </row>
    <row r="140" spans="1:177" s="35" customFormat="1" ht="15" x14ac:dyDescent="0.2">
      <c r="A140" s="157"/>
      <c r="B140" s="158" t="s">
        <v>178</v>
      </c>
      <c r="C140" s="56"/>
      <c r="D140" s="56"/>
      <c r="E140" s="56"/>
      <c r="F140" s="146">
        <f>((C140+D140+E140)/3)*(1+Parâmetros!C11)</f>
        <v>0</v>
      </c>
      <c r="G140" s="146">
        <f>((D140+E140+F140)/3)*(1+Parâmetros!D11)</f>
        <v>0</v>
      </c>
      <c r="H140" s="146">
        <f>((E140+F140+G140)/3)*(1+Parâmetros!E11)</f>
        <v>0</v>
      </c>
      <c r="I140" s="146">
        <f>((F140+G140+H140)/3)*(1+Parâmetros!F11)</f>
        <v>0</v>
      </c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41"/>
      <c r="AM140" s="41"/>
      <c r="AN140" s="41"/>
      <c r="AO140" s="41"/>
      <c r="AP140" s="41"/>
      <c r="AQ140" s="41"/>
      <c r="AR140" s="41"/>
      <c r="AS140" s="41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  <c r="BF140" s="41"/>
      <c r="BG140" s="41"/>
      <c r="BH140" s="41"/>
      <c r="BI140" s="41"/>
      <c r="BJ140" s="41"/>
      <c r="BK140" s="41"/>
      <c r="BL140" s="41"/>
      <c r="BM140" s="41"/>
      <c r="BN140" s="41"/>
      <c r="BO140" s="41"/>
      <c r="BP140" s="41"/>
      <c r="BQ140" s="41"/>
      <c r="BR140" s="41"/>
      <c r="BS140" s="41"/>
      <c r="BT140" s="41"/>
      <c r="BU140" s="41"/>
      <c r="BV140" s="41"/>
      <c r="BW140" s="41"/>
      <c r="BX140" s="41"/>
      <c r="BY140" s="41"/>
      <c r="BZ140" s="41"/>
      <c r="CA140" s="41"/>
      <c r="CB140" s="41"/>
      <c r="CC140" s="41"/>
      <c r="CD140" s="41"/>
      <c r="CE140" s="41"/>
      <c r="CF140" s="41"/>
      <c r="CG140" s="41"/>
      <c r="CH140" s="41"/>
      <c r="CI140" s="41"/>
      <c r="CJ140" s="41"/>
      <c r="CK140" s="41"/>
      <c r="CL140" s="41"/>
      <c r="CM140" s="41"/>
      <c r="CN140" s="41"/>
      <c r="CO140" s="41"/>
      <c r="CP140" s="41"/>
      <c r="CQ140" s="41"/>
      <c r="CR140" s="41"/>
      <c r="CS140" s="41"/>
      <c r="CT140" s="41"/>
      <c r="CU140" s="41"/>
      <c r="CV140" s="41"/>
      <c r="CW140" s="41"/>
      <c r="CX140" s="41"/>
      <c r="CY140" s="41"/>
      <c r="CZ140" s="41"/>
      <c r="DA140" s="41"/>
      <c r="DB140" s="41"/>
      <c r="DC140" s="41"/>
      <c r="DD140" s="41"/>
      <c r="DE140" s="41"/>
      <c r="DF140" s="41"/>
      <c r="DG140" s="41"/>
      <c r="DH140" s="41"/>
      <c r="DI140" s="41"/>
      <c r="DJ140" s="41"/>
      <c r="DK140" s="41"/>
      <c r="DL140" s="41"/>
      <c r="DM140" s="41"/>
      <c r="DN140" s="41"/>
      <c r="DO140" s="41"/>
      <c r="DP140" s="41"/>
      <c r="DQ140" s="41"/>
      <c r="DR140" s="41"/>
      <c r="DS140" s="41"/>
      <c r="DT140" s="41"/>
      <c r="DU140" s="41"/>
      <c r="DV140" s="41"/>
      <c r="DW140" s="41"/>
      <c r="DX140" s="41"/>
      <c r="DY140" s="41"/>
      <c r="DZ140" s="41"/>
      <c r="EA140" s="41"/>
      <c r="EB140" s="41"/>
      <c r="EC140" s="41"/>
      <c r="ED140" s="41"/>
      <c r="EE140" s="41"/>
      <c r="EF140" s="41"/>
      <c r="EG140" s="41"/>
      <c r="EH140" s="41"/>
      <c r="EI140" s="41"/>
      <c r="EJ140" s="41"/>
      <c r="EK140" s="41"/>
      <c r="EL140" s="41"/>
      <c r="EM140" s="41"/>
      <c r="EN140" s="41"/>
      <c r="EO140" s="41"/>
      <c r="EP140" s="41"/>
      <c r="EQ140" s="41"/>
      <c r="ER140" s="41"/>
      <c r="ES140" s="41"/>
      <c r="ET140" s="41"/>
      <c r="EU140" s="41"/>
      <c r="EV140" s="41"/>
      <c r="EW140" s="41"/>
      <c r="EX140" s="41"/>
      <c r="EY140" s="41"/>
      <c r="EZ140" s="41"/>
      <c r="FA140" s="41"/>
      <c r="FB140" s="41"/>
      <c r="FC140" s="41"/>
      <c r="FD140" s="41"/>
      <c r="FE140" s="41"/>
      <c r="FF140" s="41"/>
      <c r="FG140" s="41"/>
      <c r="FH140" s="41"/>
      <c r="FI140" s="41"/>
      <c r="FJ140" s="41"/>
      <c r="FK140" s="41"/>
      <c r="FL140" s="41"/>
      <c r="FM140" s="41"/>
      <c r="FN140" s="41"/>
      <c r="FO140" s="41"/>
      <c r="FP140" s="41"/>
      <c r="FQ140" s="41"/>
      <c r="FR140" s="41"/>
      <c r="FS140" s="41"/>
      <c r="FT140" s="41"/>
      <c r="FU140" s="41"/>
    </row>
    <row r="141" spans="1:177" s="35" customFormat="1" ht="15" x14ac:dyDescent="0.2">
      <c r="A141" s="157"/>
      <c r="B141" s="158" t="s">
        <v>179</v>
      </c>
      <c r="C141" s="56"/>
      <c r="D141" s="56"/>
      <c r="E141" s="56"/>
      <c r="F141" s="146">
        <f>((C141+D141+E141)/3)*(1+Parâmetros!C11)</f>
        <v>0</v>
      </c>
      <c r="G141" s="146">
        <f>((D141+E141+F141)/3)*(1+Parâmetros!D11)</f>
        <v>0</v>
      </c>
      <c r="H141" s="146">
        <f>((E141+F141+G141)/3)*(1+Parâmetros!E11)</f>
        <v>0</v>
      </c>
      <c r="I141" s="146">
        <f>((F141+G141+H141)/3)*(1+Parâmetros!F11)</f>
        <v>0</v>
      </c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  <c r="AO141" s="41"/>
      <c r="AP141" s="41"/>
      <c r="AQ141" s="41"/>
      <c r="AR141" s="41"/>
      <c r="AS141" s="41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  <c r="BF141" s="41"/>
      <c r="BG141" s="41"/>
      <c r="BH141" s="41"/>
      <c r="BI141" s="41"/>
      <c r="BJ141" s="41"/>
      <c r="BK141" s="41"/>
      <c r="BL141" s="41"/>
      <c r="BM141" s="41"/>
      <c r="BN141" s="41"/>
      <c r="BO141" s="41"/>
      <c r="BP141" s="41"/>
      <c r="BQ141" s="41"/>
      <c r="BR141" s="41"/>
      <c r="BS141" s="41"/>
      <c r="BT141" s="41"/>
      <c r="BU141" s="41"/>
      <c r="BV141" s="41"/>
      <c r="BW141" s="41"/>
      <c r="BX141" s="41"/>
      <c r="BY141" s="41"/>
      <c r="BZ141" s="41"/>
      <c r="CA141" s="41"/>
      <c r="CB141" s="41"/>
      <c r="CC141" s="41"/>
      <c r="CD141" s="41"/>
      <c r="CE141" s="41"/>
      <c r="CF141" s="41"/>
      <c r="CG141" s="41"/>
      <c r="CH141" s="41"/>
      <c r="CI141" s="41"/>
      <c r="CJ141" s="41"/>
      <c r="CK141" s="41"/>
      <c r="CL141" s="41"/>
      <c r="CM141" s="41"/>
      <c r="CN141" s="41"/>
      <c r="CO141" s="41"/>
      <c r="CP141" s="41"/>
      <c r="CQ141" s="41"/>
      <c r="CR141" s="41"/>
      <c r="CS141" s="41"/>
      <c r="CT141" s="41"/>
      <c r="CU141" s="41"/>
      <c r="CV141" s="41"/>
      <c r="CW141" s="41"/>
      <c r="CX141" s="41"/>
      <c r="CY141" s="41"/>
      <c r="CZ141" s="41"/>
      <c r="DA141" s="41"/>
      <c r="DB141" s="41"/>
      <c r="DC141" s="41"/>
      <c r="DD141" s="41"/>
      <c r="DE141" s="41"/>
      <c r="DF141" s="41"/>
      <c r="DG141" s="41"/>
      <c r="DH141" s="41"/>
      <c r="DI141" s="41"/>
      <c r="DJ141" s="41"/>
      <c r="DK141" s="41"/>
      <c r="DL141" s="41"/>
      <c r="DM141" s="41"/>
      <c r="DN141" s="41"/>
      <c r="DO141" s="41"/>
      <c r="DP141" s="41"/>
      <c r="DQ141" s="41"/>
      <c r="DR141" s="41"/>
      <c r="DS141" s="41"/>
      <c r="DT141" s="41"/>
      <c r="DU141" s="41"/>
      <c r="DV141" s="41"/>
      <c r="DW141" s="41"/>
      <c r="DX141" s="41"/>
      <c r="DY141" s="41"/>
      <c r="DZ141" s="41"/>
      <c r="EA141" s="41"/>
      <c r="EB141" s="41"/>
      <c r="EC141" s="41"/>
      <c r="ED141" s="41"/>
      <c r="EE141" s="41"/>
      <c r="EF141" s="41"/>
      <c r="EG141" s="41"/>
      <c r="EH141" s="41"/>
      <c r="EI141" s="41"/>
      <c r="EJ141" s="41"/>
      <c r="EK141" s="41"/>
      <c r="EL141" s="41"/>
      <c r="EM141" s="41"/>
      <c r="EN141" s="41"/>
      <c r="EO141" s="41"/>
      <c r="EP141" s="41"/>
      <c r="EQ141" s="41"/>
      <c r="ER141" s="41"/>
      <c r="ES141" s="41"/>
      <c r="ET141" s="41"/>
      <c r="EU141" s="41"/>
      <c r="EV141" s="41"/>
      <c r="EW141" s="41"/>
      <c r="EX141" s="41"/>
      <c r="EY141" s="41"/>
      <c r="EZ141" s="41"/>
      <c r="FA141" s="41"/>
      <c r="FB141" s="41"/>
      <c r="FC141" s="41"/>
      <c r="FD141" s="41"/>
      <c r="FE141" s="41"/>
      <c r="FF141" s="41"/>
      <c r="FG141" s="41"/>
      <c r="FH141" s="41"/>
      <c r="FI141" s="41"/>
      <c r="FJ141" s="41"/>
      <c r="FK141" s="41"/>
      <c r="FL141" s="41"/>
      <c r="FM141" s="41"/>
      <c r="FN141" s="41"/>
      <c r="FO141" s="41"/>
      <c r="FP141" s="41"/>
      <c r="FQ141" s="41"/>
      <c r="FR141" s="41"/>
      <c r="FS141" s="41"/>
      <c r="FT141" s="41"/>
      <c r="FU141" s="41"/>
    </row>
    <row r="142" spans="1:177" s="35" customFormat="1" x14ac:dyDescent="0.25">
      <c r="A142" s="155" t="s">
        <v>182</v>
      </c>
      <c r="B142" s="156" t="s">
        <v>230</v>
      </c>
      <c r="C142" s="243">
        <f t="shared" ref="C142:I142" si="25">SUM(C143:C148)</f>
        <v>0</v>
      </c>
      <c r="D142" s="243">
        <f t="shared" si="25"/>
        <v>0</v>
      </c>
      <c r="E142" s="243">
        <f t="shared" si="25"/>
        <v>0</v>
      </c>
      <c r="F142" s="161">
        <f t="shared" si="25"/>
        <v>0</v>
      </c>
      <c r="G142" s="161">
        <f t="shared" si="25"/>
        <v>0</v>
      </c>
      <c r="H142" s="161">
        <f t="shared" si="25"/>
        <v>0</v>
      </c>
      <c r="I142" s="161">
        <f t="shared" si="25"/>
        <v>0</v>
      </c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  <c r="AO142" s="41"/>
      <c r="AP142" s="41"/>
      <c r="AQ142" s="41"/>
      <c r="AR142" s="41"/>
      <c r="AS142" s="41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  <c r="BF142" s="41"/>
      <c r="BG142" s="41"/>
      <c r="BH142" s="41"/>
      <c r="BI142" s="41"/>
      <c r="BJ142" s="41"/>
      <c r="BK142" s="41"/>
      <c r="BL142" s="41"/>
      <c r="BM142" s="41"/>
      <c r="BN142" s="41"/>
      <c r="BO142" s="41"/>
      <c r="BP142" s="41"/>
      <c r="BQ142" s="41"/>
      <c r="BR142" s="41"/>
      <c r="BS142" s="41"/>
      <c r="BT142" s="41"/>
      <c r="BU142" s="41"/>
      <c r="BV142" s="41"/>
      <c r="BW142" s="41"/>
      <c r="BX142" s="41"/>
      <c r="BY142" s="41"/>
      <c r="BZ142" s="41"/>
      <c r="CA142" s="41"/>
      <c r="CB142" s="41"/>
      <c r="CC142" s="41"/>
      <c r="CD142" s="41"/>
      <c r="CE142" s="41"/>
      <c r="CF142" s="41"/>
      <c r="CG142" s="41"/>
      <c r="CH142" s="41"/>
      <c r="CI142" s="41"/>
      <c r="CJ142" s="41"/>
      <c r="CK142" s="41"/>
      <c r="CL142" s="41"/>
      <c r="CM142" s="41"/>
      <c r="CN142" s="41"/>
      <c r="CO142" s="41"/>
      <c r="CP142" s="41"/>
      <c r="CQ142" s="41"/>
      <c r="CR142" s="41"/>
      <c r="CS142" s="41"/>
      <c r="CT142" s="41"/>
      <c r="CU142" s="41"/>
      <c r="CV142" s="41"/>
      <c r="CW142" s="41"/>
      <c r="CX142" s="41"/>
      <c r="CY142" s="41"/>
      <c r="CZ142" s="41"/>
      <c r="DA142" s="41"/>
      <c r="DB142" s="41"/>
      <c r="DC142" s="41"/>
      <c r="DD142" s="41"/>
      <c r="DE142" s="41"/>
      <c r="DF142" s="41"/>
      <c r="DG142" s="41"/>
      <c r="DH142" s="41"/>
      <c r="DI142" s="41"/>
      <c r="DJ142" s="41"/>
      <c r="DK142" s="41"/>
      <c r="DL142" s="41"/>
      <c r="DM142" s="41"/>
      <c r="DN142" s="41"/>
      <c r="DO142" s="41"/>
      <c r="DP142" s="41"/>
      <c r="DQ142" s="41"/>
      <c r="DR142" s="41"/>
      <c r="DS142" s="41"/>
      <c r="DT142" s="41"/>
      <c r="DU142" s="41"/>
      <c r="DV142" s="41"/>
      <c r="DW142" s="41"/>
      <c r="DX142" s="41"/>
      <c r="DY142" s="41"/>
      <c r="DZ142" s="41"/>
      <c r="EA142" s="41"/>
      <c r="EB142" s="41"/>
      <c r="EC142" s="41"/>
      <c r="ED142" s="41"/>
      <c r="EE142" s="41"/>
      <c r="EF142" s="41"/>
      <c r="EG142" s="41"/>
      <c r="EH142" s="41"/>
      <c r="EI142" s="41"/>
      <c r="EJ142" s="41"/>
      <c r="EK142" s="41"/>
      <c r="EL142" s="41"/>
      <c r="EM142" s="41"/>
      <c r="EN142" s="41"/>
      <c r="EO142" s="41"/>
      <c r="EP142" s="41"/>
      <c r="EQ142" s="41"/>
      <c r="ER142" s="41"/>
      <c r="ES142" s="41"/>
      <c r="ET142" s="41"/>
      <c r="EU142" s="41"/>
      <c r="EV142" s="41"/>
      <c r="EW142" s="41"/>
      <c r="EX142" s="41"/>
      <c r="EY142" s="41"/>
      <c r="EZ142" s="41"/>
      <c r="FA142" s="41"/>
      <c r="FB142" s="41"/>
      <c r="FC142" s="41"/>
      <c r="FD142" s="41"/>
      <c r="FE142" s="41"/>
      <c r="FF142" s="41"/>
      <c r="FG142" s="41"/>
      <c r="FH142" s="41"/>
      <c r="FI142" s="41"/>
      <c r="FJ142" s="41"/>
      <c r="FK142" s="41"/>
      <c r="FL142" s="41"/>
      <c r="FM142" s="41"/>
      <c r="FN142" s="41"/>
      <c r="FO142" s="41"/>
      <c r="FP142" s="41"/>
      <c r="FQ142" s="41"/>
      <c r="FR142" s="41"/>
      <c r="FS142" s="41"/>
      <c r="FT142" s="41"/>
      <c r="FU142" s="41"/>
    </row>
    <row r="143" spans="1:177" s="35" customFormat="1" ht="15" x14ac:dyDescent="0.2">
      <c r="A143" s="157"/>
      <c r="B143" s="158" t="s">
        <v>183</v>
      </c>
      <c r="C143" s="56"/>
      <c r="D143" s="56"/>
      <c r="E143" s="56"/>
      <c r="F143" s="146">
        <f>((C143+D143+E143)/3)*(1+Parâmetros!C11)*(1+Parâmetros!C14)</f>
        <v>0</v>
      </c>
      <c r="G143" s="146">
        <f>((D143+E143+F143)/3)*(1+Parâmetros!D11)*(1+Parâmetros!D14)</f>
        <v>0</v>
      </c>
      <c r="H143" s="146">
        <f>((E143+F143+G143)/3)*(1+Parâmetros!E11)*(1+Parâmetros!E14)</f>
        <v>0</v>
      </c>
      <c r="I143" s="146">
        <f>((F143+G143+H143)/3)*(1+Parâmetros!F11)*(1+Parâmetros!F14)</f>
        <v>0</v>
      </c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  <c r="BF143" s="41"/>
      <c r="BG143" s="41"/>
      <c r="BH143" s="41"/>
      <c r="BI143" s="41"/>
      <c r="BJ143" s="41"/>
      <c r="BK143" s="41"/>
      <c r="BL143" s="41"/>
      <c r="BM143" s="41"/>
      <c r="BN143" s="41"/>
      <c r="BO143" s="41"/>
      <c r="BP143" s="41"/>
      <c r="BQ143" s="41"/>
      <c r="BR143" s="41"/>
      <c r="BS143" s="41"/>
      <c r="BT143" s="41"/>
      <c r="BU143" s="41"/>
      <c r="BV143" s="41"/>
      <c r="BW143" s="41"/>
      <c r="BX143" s="41"/>
      <c r="BY143" s="41"/>
      <c r="BZ143" s="41"/>
      <c r="CA143" s="41"/>
      <c r="CB143" s="41"/>
      <c r="CC143" s="41"/>
      <c r="CD143" s="41"/>
      <c r="CE143" s="41"/>
      <c r="CF143" s="41"/>
      <c r="CG143" s="41"/>
      <c r="CH143" s="41"/>
      <c r="CI143" s="41"/>
      <c r="CJ143" s="41"/>
      <c r="CK143" s="41"/>
      <c r="CL143" s="41"/>
      <c r="CM143" s="41"/>
      <c r="CN143" s="41"/>
      <c r="CO143" s="41"/>
      <c r="CP143" s="41"/>
      <c r="CQ143" s="41"/>
      <c r="CR143" s="41"/>
      <c r="CS143" s="41"/>
      <c r="CT143" s="41"/>
      <c r="CU143" s="41"/>
      <c r="CV143" s="41"/>
      <c r="CW143" s="41"/>
      <c r="CX143" s="41"/>
      <c r="CY143" s="41"/>
      <c r="CZ143" s="41"/>
      <c r="DA143" s="41"/>
      <c r="DB143" s="41"/>
      <c r="DC143" s="41"/>
      <c r="DD143" s="41"/>
      <c r="DE143" s="41"/>
      <c r="DF143" s="41"/>
      <c r="DG143" s="41"/>
      <c r="DH143" s="41"/>
      <c r="DI143" s="41"/>
      <c r="DJ143" s="41"/>
      <c r="DK143" s="41"/>
      <c r="DL143" s="41"/>
      <c r="DM143" s="41"/>
      <c r="DN143" s="41"/>
      <c r="DO143" s="41"/>
      <c r="DP143" s="41"/>
      <c r="DQ143" s="41"/>
      <c r="DR143" s="41"/>
      <c r="DS143" s="41"/>
      <c r="DT143" s="41"/>
      <c r="DU143" s="41"/>
      <c r="DV143" s="41"/>
      <c r="DW143" s="41"/>
      <c r="DX143" s="41"/>
      <c r="DY143" s="41"/>
      <c r="DZ143" s="41"/>
      <c r="EA143" s="41"/>
      <c r="EB143" s="41"/>
      <c r="EC143" s="41"/>
      <c r="ED143" s="41"/>
      <c r="EE143" s="41"/>
      <c r="EF143" s="41"/>
      <c r="EG143" s="41"/>
      <c r="EH143" s="41"/>
      <c r="EI143" s="41"/>
      <c r="EJ143" s="41"/>
      <c r="EK143" s="41"/>
      <c r="EL143" s="41"/>
      <c r="EM143" s="41"/>
      <c r="EN143" s="41"/>
      <c r="EO143" s="41"/>
      <c r="EP143" s="41"/>
      <c r="EQ143" s="41"/>
      <c r="ER143" s="41"/>
      <c r="ES143" s="41"/>
      <c r="ET143" s="41"/>
      <c r="EU143" s="41"/>
      <c r="EV143" s="41"/>
      <c r="EW143" s="41"/>
      <c r="EX143" s="41"/>
      <c r="EY143" s="41"/>
      <c r="EZ143" s="41"/>
      <c r="FA143" s="41"/>
      <c r="FB143" s="41"/>
      <c r="FC143" s="41"/>
      <c r="FD143" s="41"/>
      <c r="FE143" s="41"/>
      <c r="FF143" s="41"/>
      <c r="FG143" s="41"/>
      <c r="FH143" s="41"/>
      <c r="FI143" s="41"/>
      <c r="FJ143" s="41"/>
      <c r="FK143" s="41"/>
      <c r="FL143" s="41"/>
      <c r="FM143" s="41"/>
      <c r="FN143" s="41"/>
      <c r="FO143" s="41"/>
      <c r="FP143" s="41"/>
      <c r="FQ143" s="41"/>
      <c r="FR143" s="41"/>
      <c r="FS143" s="41"/>
      <c r="FT143" s="41"/>
      <c r="FU143" s="41"/>
    </row>
    <row r="144" spans="1:177" s="35" customFormat="1" ht="15" x14ac:dyDescent="0.2">
      <c r="A144" s="157"/>
      <c r="B144" s="158" t="s">
        <v>184</v>
      </c>
      <c r="C144" s="56"/>
      <c r="D144" s="56"/>
      <c r="E144" s="56"/>
      <c r="F144" s="146">
        <f>((C144+D144+E144)/3)*(1+Parâmetros!C11)*(1+Parâmetros!C14)</f>
        <v>0</v>
      </c>
      <c r="G144" s="146">
        <f>((D144+E144+F144)/3)*(1+Parâmetros!D11)*(1+Parâmetros!D14)</f>
        <v>0</v>
      </c>
      <c r="H144" s="146">
        <f>((E144+F144+G144)/3)*(1+Parâmetros!E11)*(1+Parâmetros!E14)</f>
        <v>0</v>
      </c>
      <c r="I144" s="146">
        <f>((F144+G144+H144)/3)*(1+Parâmetros!F11)*(1+Parâmetros!F14)</f>
        <v>0</v>
      </c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  <c r="BF144" s="41"/>
      <c r="BG144" s="41"/>
      <c r="BH144" s="41"/>
      <c r="BI144" s="41"/>
      <c r="BJ144" s="41"/>
      <c r="BK144" s="41"/>
      <c r="BL144" s="41"/>
      <c r="BM144" s="41"/>
      <c r="BN144" s="41"/>
      <c r="BO144" s="41"/>
      <c r="BP144" s="41"/>
      <c r="BQ144" s="41"/>
      <c r="BR144" s="41"/>
      <c r="BS144" s="41"/>
      <c r="BT144" s="41"/>
      <c r="BU144" s="41"/>
      <c r="BV144" s="41"/>
      <c r="BW144" s="41"/>
      <c r="BX144" s="41"/>
      <c r="BY144" s="41"/>
      <c r="BZ144" s="41"/>
      <c r="CA144" s="41"/>
      <c r="CB144" s="41"/>
      <c r="CC144" s="41"/>
      <c r="CD144" s="41"/>
      <c r="CE144" s="41"/>
      <c r="CF144" s="41"/>
      <c r="CG144" s="41"/>
      <c r="CH144" s="41"/>
      <c r="CI144" s="41"/>
      <c r="CJ144" s="41"/>
      <c r="CK144" s="41"/>
      <c r="CL144" s="41"/>
      <c r="CM144" s="41"/>
      <c r="CN144" s="41"/>
      <c r="CO144" s="41"/>
      <c r="CP144" s="41"/>
      <c r="CQ144" s="41"/>
      <c r="CR144" s="41"/>
      <c r="CS144" s="41"/>
      <c r="CT144" s="41"/>
      <c r="CU144" s="41"/>
      <c r="CV144" s="41"/>
      <c r="CW144" s="41"/>
      <c r="CX144" s="41"/>
      <c r="CY144" s="41"/>
      <c r="CZ144" s="41"/>
      <c r="DA144" s="41"/>
      <c r="DB144" s="41"/>
      <c r="DC144" s="41"/>
      <c r="DD144" s="41"/>
      <c r="DE144" s="41"/>
      <c r="DF144" s="41"/>
      <c r="DG144" s="41"/>
      <c r="DH144" s="41"/>
      <c r="DI144" s="41"/>
      <c r="DJ144" s="41"/>
      <c r="DK144" s="41"/>
      <c r="DL144" s="41"/>
      <c r="DM144" s="41"/>
      <c r="DN144" s="41"/>
      <c r="DO144" s="41"/>
      <c r="DP144" s="41"/>
      <c r="DQ144" s="41"/>
      <c r="DR144" s="41"/>
      <c r="DS144" s="41"/>
      <c r="DT144" s="41"/>
      <c r="DU144" s="41"/>
      <c r="DV144" s="41"/>
      <c r="DW144" s="41"/>
      <c r="DX144" s="41"/>
      <c r="DY144" s="41"/>
      <c r="DZ144" s="41"/>
      <c r="EA144" s="41"/>
      <c r="EB144" s="41"/>
      <c r="EC144" s="41"/>
      <c r="ED144" s="41"/>
      <c r="EE144" s="41"/>
      <c r="EF144" s="41"/>
      <c r="EG144" s="41"/>
      <c r="EH144" s="41"/>
      <c r="EI144" s="41"/>
      <c r="EJ144" s="41"/>
      <c r="EK144" s="41"/>
      <c r="EL144" s="41"/>
      <c r="EM144" s="41"/>
      <c r="EN144" s="41"/>
      <c r="EO144" s="41"/>
      <c r="EP144" s="41"/>
      <c r="EQ144" s="41"/>
      <c r="ER144" s="41"/>
      <c r="ES144" s="41"/>
      <c r="ET144" s="41"/>
      <c r="EU144" s="41"/>
      <c r="EV144" s="41"/>
      <c r="EW144" s="41"/>
      <c r="EX144" s="41"/>
      <c r="EY144" s="41"/>
      <c r="EZ144" s="41"/>
      <c r="FA144" s="41"/>
      <c r="FB144" s="41"/>
      <c r="FC144" s="41"/>
      <c r="FD144" s="41"/>
      <c r="FE144" s="41"/>
      <c r="FF144" s="41"/>
      <c r="FG144" s="41"/>
      <c r="FH144" s="41"/>
      <c r="FI144" s="41"/>
      <c r="FJ144" s="41"/>
      <c r="FK144" s="41"/>
      <c r="FL144" s="41"/>
      <c r="FM144" s="41"/>
      <c r="FN144" s="41"/>
      <c r="FO144" s="41"/>
      <c r="FP144" s="41"/>
      <c r="FQ144" s="41"/>
      <c r="FR144" s="41"/>
      <c r="FS144" s="41"/>
      <c r="FT144" s="41"/>
      <c r="FU144" s="41"/>
    </row>
    <row r="145" spans="1:177" s="35" customFormat="1" ht="15" x14ac:dyDescent="0.2">
      <c r="A145" s="157"/>
      <c r="B145" s="158" t="s">
        <v>185</v>
      </c>
      <c r="C145" s="56"/>
      <c r="D145" s="56"/>
      <c r="E145" s="56"/>
      <c r="F145" s="146">
        <f>((C145+D145+E145)/3)*(1+Parâmetros!C11)*(1+Parâmetros!C14)</f>
        <v>0</v>
      </c>
      <c r="G145" s="146">
        <f>((D145+E145+F145)/3)*(1+Parâmetros!D11)*(1+Parâmetros!D14)</f>
        <v>0</v>
      </c>
      <c r="H145" s="146">
        <f>((E145+F145+G145)/3)*(1+Parâmetros!E11)*(1+Parâmetros!E14)</f>
        <v>0</v>
      </c>
      <c r="I145" s="146">
        <f>((F145+G145+H145)/3)*(1+Parâmetros!F11)*(1+Parâmetros!F14)</f>
        <v>0</v>
      </c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  <c r="BF145" s="41"/>
      <c r="BG145" s="41"/>
      <c r="BH145" s="41"/>
      <c r="BI145" s="41"/>
      <c r="BJ145" s="41"/>
      <c r="BK145" s="41"/>
      <c r="BL145" s="41"/>
      <c r="BM145" s="41"/>
      <c r="BN145" s="41"/>
      <c r="BO145" s="41"/>
      <c r="BP145" s="41"/>
      <c r="BQ145" s="41"/>
      <c r="BR145" s="41"/>
      <c r="BS145" s="41"/>
      <c r="BT145" s="41"/>
      <c r="BU145" s="41"/>
      <c r="BV145" s="41"/>
      <c r="BW145" s="41"/>
      <c r="BX145" s="41"/>
      <c r="BY145" s="41"/>
      <c r="BZ145" s="41"/>
      <c r="CA145" s="41"/>
      <c r="CB145" s="41"/>
      <c r="CC145" s="41"/>
      <c r="CD145" s="41"/>
      <c r="CE145" s="41"/>
      <c r="CF145" s="41"/>
      <c r="CG145" s="41"/>
      <c r="CH145" s="41"/>
      <c r="CI145" s="41"/>
      <c r="CJ145" s="41"/>
      <c r="CK145" s="41"/>
      <c r="CL145" s="41"/>
      <c r="CM145" s="41"/>
      <c r="CN145" s="41"/>
      <c r="CO145" s="41"/>
      <c r="CP145" s="41"/>
      <c r="CQ145" s="41"/>
      <c r="CR145" s="41"/>
      <c r="CS145" s="41"/>
      <c r="CT145" s="41"/>
      <c r="CU145" s="41"/>
      <c r="CV145" s="41"/>
      <c r="CW145" s="41"/>
      <c r="CX145" s="41"/>
      <c r="CY145" s="41"/>
      <c r="CZ145" s="41"/>
      <c r="DA145" s="41"/>
      <c r="DB145" s="41"/>
      <c r="DC145" s="41"/>
      <c r="DD145" s="41"/>
      <c r="DE145" s="41"/>
      <c r="DF145" s="41"/>
      <c r="DG145" s="41"/>
      <c r="DH145" s="41"/>
      <c r="DI145" s="41"/>
      <c r="DJ145" s="41"/>
      <c r="DK145" s="41"/>
      <c r="DL145" s="41"/>
      <c r="DM145" s="41"/>
      <c r="DN145" s="41"/>
      <c r="DO145" s="41"/>
      <c r="DP145" s="41"/>
      <c r="DQ145" s="41"/>
      <c r="DR145" s="41"/>
      <c r="DS145" s="41"/>
      <c r="DT145" s="41"/>
      <c r="DU145" s="41"/>
      <c r="DV145" s="41"/>
      <c r="DW145" s="41"/>
      <c r="DX145" s="41"/>
      <c r="DY145" s="41"/>
      <c r="DZ145" s="41"/>
      <c r="EA145" s="41"/>
      <c r="EB145" s="41"/>
      <c r="EC145" s="41"/>
      <c r="ED145" s="41"/>
      <c r="EE145" s="41"/>
      <c r="EF145" s="41"/>
      <c r="EG145" s="41"/>
      <c r="EH145" s="41"/>
      <c r="EI145" s="41"/>
      <c r="EJ145" s="41"/>
      <c r="EK145" s="41"/>
      <c r="EL145" s="41"/>
      <c r="EM145" s="41"/>
      <c r="EN145" s="41"/>
      <c r="EO145" s="41"/>
      <c r="EP145" s="41"/>
      <c r="EQ145" s="41"/>
      <c r="ER145" s="41"/>
      <c r="ES145" s="41"/>
      <c r="ET145" s="41"/>
      <c r="EU145" s="41"/>
      <c r="EV145" s="41"/>
      <c r="EW145" s="41"/>
      <c r="EX145" s="41"/>
      <c r="EY145" s="41"/>
      <c r="EZ145" s="41"/>
      <c r="FA145" s="41"/>
      <c r="FB145" s="41"/>
      <c r="FC145" s="41"/>
      <c r="FD145" s="41"/>
      <c r="FE145" s="41"/>
      <c r="FF145" s="41"/>
      <c r="FG145" s="41"/>
      <c r="FH145" s="41"/>
      <c r="FI145" s="41"/>
      <c r="FJ145" s="41"/>
      <c r="FK145" s="41"/>
      <c r="FL145" s="41"/>
      <c r="FM145" s="41"/>
      <c r="FN145" s="41"/>
      <c r="FO145" s="41"/>
      <c r="FP145" s="41"/>
      <c r="FQ145" s="41"/>
      <c r="FR145" s="41"/>
      <c r="FS145" s="41"/>
      <c r="FT145" s="41"/>
      <c r="FU145" s="41"/>
    </row>
    <row r="146" spans="1:177" s="35" customFormat="1" ht="15" x14ac:dyDescent="0.2">
      <c r="A146" s="157"/>
      <c r="B146" s="158" t="s">
        <v>187</v>
      </c>
      <c r="C146" s="56"/>
      <c r="D146" s="56"/>
      <c r="E146" s="56"/>
      <c r="F146" s="146">
        <f>((C146+D146+E146)/3)*(1+Parâmetros!C11)*(1+Parâmetros!C14)</f>
        <v>0</v>
      </c>
      <c r="G146" s="146">
        <f>((D146+E146+F146)/3)*(1+Parâmetros!D11)*(1+Parâmetros!D14)</f>
        <v>0</v>
      </c>
      <c r="H146" s="146">
        <f>((E146+F146+G146)/3)*(1+Parâmetros!E11)*(1+Parâmetros!E14)</f>
        <v>0</v>
      </c>
      <c r="I146" s="146">
        <f>((F146+G146+H146)/3)*(1+Parâmetros!F11)*(1+Parâmetros!F14)</f>
        <v>0</v>
      </c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  <c r="BF146" s="41"/>
      <c r="BG146" s="41"/>
      <c r="BH146" s="41"/>
      <c r="BI146" s="41"/>
      <c r="BJ146" s="41"/>
      <c r="BK146" s="41"/>
      <c r="BL146" s="41"/>
      <c r="BM146" s="41"/>
      <c r="BN146" s="41"/>
      <c r="BO146" s="41"/>
      <c r="BP146" s="41"/>
      <c r="BQ146" s="41"/>
      <c r="BR146" s="41"/>
      <c r="BS146" s="41"/>
      <c r="BT146" s="41"/>
      <c r="BU146" s="41"/>
      <c r="BV146" s="41"/>
      <c r="BW146" s="41"/>
      <c r="BX146" s="41"/>
      <c r="BY146" s="41"/>
      <c r="BZ146" s="41"/>
      <c r="CA146" s="41"/>
      <c r="CB146" s="41"/>
      <c r="CC146" s="41"/>
      <c r="CD146" s="41"/>
      <c r="CE146" s="41"/>
      <c r="CF146" s="41"/>
      <c r="CG146" s="41"/>
      <c r="CH146" s="41"/>
      <c r="CI146" s="41"/>
      <c r="CJ146" s="41"/>
      <c r="CK146" s="41"/>
      <c r="CL146" s="41"/>
      <c r="CM146" s="41"/>
      <c r="CN146" s="41"/>
      <c r="CO146" s="41"/>
      <c r="CP146" s="41"/>
      <c r="CQ146" s="41"/>
      <c r="CR146" s="41"/>
      <c r="CS146" s="41"/>
      <c r="CT146" s="41"/>
      <c r="CU146" s="41"/>
      <c r="CV146" s="41"/>
      <c r="CW146" s="41"/>
      <c r="CX146" s="41"/>
      <c r="CY146" s="41"/>
      <c r="CZ146" s="41"/>
      <c r="DA146" s="41"/>
      <c r="DB146" s="41"/>
      <c r="DC146" s="41"/>
      <c r="DD146" s="41"/>
      <c r="DE146" s="41"/>
      <c r="DF146" s="41"/>
      <c r="DG146" s="41"/>
      <c r="DH146" s="41"/>
      <c r="DI146" s="41"/>
      <c r="DJ146" s="41"/>
      <c r="DK146" s="41"/>
      <c r="DL146" s="41"/>
      <c r="DM146" s="41"/>
      <c r="DN146" s="41"/>
      <c r="DO146" s="41"/>
      <c r="DP146" s="41"/>
      <c r="DQ146" s="41"/>
      <c r="DR146" s="41"/>
      <c r="DS146" s="41"/>
      <c r="DT146" s="41"/>
      <c r="DU146" s="41"/>
      <c r="DV146" s="41"/>
      <c r="DW146" s="41"/>
      <c r="DX146" s="41"/>
      <c r="DY146" s="41"/>
      <c r="DZ146" s="41"/>
      <c r="EA146" s="41"/>
      <c r="EB146" s="41"/>
      <c r="EC146" s="41"/>
      <c r="ED146" s="41"/>
      <c r="EE146" s="41"/>
      <c r="EF146" s="41"/>
      <c r="EG146" s="41"/>
      <c r="EH146" s="41"/>
      <c r="EI146" s="41"/>
      <c r="EJ146" s="41"/>
      <c r="EK146" s="41"/>
      <c r="EL146" s="41"/>
      <c r="EM146" s="41"/>
      <c r="EN146" s="41"/>
      <c r="EO146" s="41"/>
      <c r="EP146" s="41"/>
      <c r="EQ146" s="41"/>
      <c r="ER146" s="41"/>
      <c r="ES146" s="41"/>
      <c r="ET146" s="41"/>
      <c r="EU146" s="41"/>
      <c r="EV146" s="41"/>
      <c r="EW146" s="41"/>
      <c r="EX146" s="41"/>
      <c r="EY146" s="41"/>
      <c r="EZ146" s="41"/>
      <c r="FA146" s="41"/>
      <c r="FB146" s="41"/>
      <c r="FC146" s="41"/>
      <c r="FD146" s="41"/>
      <c r="FE146" s="41"/>
      <c r="FF146" s="41"/>
      <c r="FG146" s="41"/>
      <c r="FH146" s="41"/>
      <c r="FI146" s="41"/>
      <c r="FJ146" s="41"/>
      <c r="FK146" s="41"/>
      <c r="FL146" s="41"/>
      <c r="FM146" s="41"/>
      <c r="FN146" s="41"/>
      <c r="FO146" s="41"/>
      <c r="FP146" s="41"/>
      <c r="FQ146" s="41"/>
      <c r="FR146" s="41"/>
      <c r="FS146" s="41"/>
      <c r="FT146" s="41"/>
      <c r="FU146" s="41"/>
    </row>
    <row r="147" spans="1:177" s="35" customFormat="1" ht="15" x14ac:dyDescent="0.2">
      <c r="A147" s="157"/>
      <c r="B147" s="158" t="s">
        <v>186</v>
      </c>
      <c r="C147" s="56"/>
      <c r="D147" s="56"/>
      <c r="E147" s="56"/>
      <c r="F147" s="146">
        <f>((C147+D147+E147)/3)*(1+Parâmetros!C11)*(1+Parâmetros!C14)</f>
        <v>0</v>
      </c>
      <c r="G147" s="146">
        <f>((D147+E147+F147)/3)*(1+Parâmetros!D11)*(1+Parâmetros!D14)</f>
        <v>0</v>
      </c>
      <c r="H147" s="146">
        <f>((E147+F147+G147)/3)*(1+Parâmetros!E11)*(1+Parâmetros!E14)</f>
        <v>0</v>
      </c>
      <c r="I147" s="146">
        <f>((F147+G147+H147)/3)*(1+Parâmetros!F11)*(1+Parâmetros!F14)</f>
        <v>0</v>
      </c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  <c r="BF147" s="41"/>
      <c r="BG147" s="41"/>
      <c r="BH147" s="41"/>
      <c r="BI147" s="41"/>
      <c r="BJ147" s="41"/>
      <c r="BK147" s="41"/>
      <c r="BL147" s="41"/>
      <c r="BM147" s="41"/>
      <c r="BN147" s="41"/>
      <c r="BO147" s="41"/>
      <c r="BP147" s="41"/>
      <c r="BQ147" s="41"/>
      <c r="BR147" s="41"/>
      <c r="BS147" s="41"/>
      <c r="BT147" s="41"/>
      <c r="BU147" s="41"/>
      <c r="BV147" s="41"/>
      <c r="BW147" s="41"/>
      <c r="BX147" s="41"/>
      <c r="BY147" s="41"/>
      <c r="BZ147" s="41"/>
      <c r="CA147" s="41"/>
      <c r="CB147" s="41"/>
      <c r="CC147" s="41"/>
      <c r="CD147" s="41"/>
      <c r="CE147" s="41"/>
      <c r="CF147" s="41"/>
      <c r="CG147" s="41"/>
      <c r="CH147" s="41"/>
      <c r="CI147" s="41"/>
      <c r="CJ147" s="41"/>
      <c r="CK147" s="41"/>
      <c r="CL147" s="41"/>
      <c r="CM147" s="41"/>
      <c r="CN147" s="41"/>
      <c r="CO147" s="41"/>
      <c r="CP147" s="41"/>
      <c r="CQ147" s="41"/>
      <c r="CR147" s="41"/>
      <c r="CS147" s="41"/>
      <c r="CT147" s="41"/>
      <c r="CU147" s="41"/>
      <c r="CV147" s="41"/>
      <c r="CW147" s="41"/>
      <c r="CX147" s="41"/>
      <c r="CY147" s="41"/>
      <c r="CZ147" s="41"/>
      <c r="DA147" s="41"/>
      <c r="DB147" s="41"/>
      <c r="DC147" s="41"/>
      <c r="DD147" s="41"/>
      <c r="DE147" s="41"/>
      <c r="DF147" s="41"/>
      <c r="DG147" s="41"/>
      <c r="DH147" s="41"/>
      <c r="DI147" s="41"/>
      <c r="DJ147" s="41"/>
      <c r="DK147" s="41"/>
      <c r="DL147" s="41"/>
      <c r="DM147" s="41"/>
      <c r="DN147" s="41"/>
      <c r="DO147" s="41"/>
      <c r="DP147" s="41"/>
      <c r="DQ147" s="41"/>
      <c r="DR147" s="41"/>
      <c r="DS147" s="41"/>
      <c r="DT147" s="41"/>
      <c r="DU147" s="41"/>
      <c r="DV147" s="41"/>
      <c r="DW147" s="41"/>
      <c r="DX147" s="41"/>
      <c r="DY147" s="41"/>
      <c r="DZ147" s="41"/>
      <c r="EA147" s="41"/>
      <c r="EB147" s="41"/>
      <c r="EC147" s="41"/>
      <c r="ED147" s="41"/>
      <c r="EE147" s="41"/>
      <c r="EF147" s="41"/>
      <c r="EG147" s="41"/>
      <c r="EH147" s="41"/>
      <c r="EI147" s="41"/>
      <c r="EJ147" s="41"/>
      <c r="EK147" s="41"/>
      <c r="EL147" s="41"/>
      <c r="EM147" s="41"/>
      <c r="EN147" s="41"/>
      <c r="EO147" s="41"/>
      <c r="EP147" s="41"/>
      <c r="EQ147" s="41"/>
      <c r="ER147" s="41"/>
      <c r="ES147" s="41"/>
      <c r="ET147" s="41"/>
      <c r="EU147" s="41"/>
      <c r="EV147" s="41"/>
      <c r="EW147" s="41"/>
      <c r="EX147" s="41"/>
      <c r="EY147" s="41"/>
      <c r="EZ147" s="41"/>
      <c r="FA147" s="41"/>
      <c r="FB147" s="41"/>
      <c r="FC147" s="41"/>
      <c r="FD147" s="41"/>
      <c r="FE147" s="41"/>
      <c r="FF147" s="41"/>
      <c r="FG147" s="41"/>
      <c r="FH147" s="41"/>
      <c r="FI147" s="41"/>
      <c r="FJ147" s="41"/>
      <c r="FK147" s="41"/>
      <c r="FL147" s="41"/>
      <c r="FM147" s="41"/>
      <c r="FN147" s="41"/>
      <c r="FO147" s="41"/>
      <c r="FP147" s="41"/>
      <c r="FQ147" s="41"/>
      <c r="FR147" s="41"/>
      <c r="FS147" s="41"/>
      <c r="FT147" s="41"/>
      <c r="FU147" s="41"/>
    </row>
    <row r="148" spans="1:177" s="35" customFormat="1" ht="15" x14ac:dyDescent="0.2">
      <c r="A148" s="157"/>
      <c r="B148" s="158" t="s">
        <v>188</v>
      </c>
      <c r="C148" s="56"/>
      <c r="D148" s="56"/>
      <c r="E148" s="56"/>
      <c r="F148" s="146">
        <f>((C148+D148+E148)/3)*(1+Parâmetros!C11)*(1+Parâmetros!C14)</f>
        <v>0</v>
      </c>
      <c r="G148" s="146">
        <f>((D148+E148+F148)/3)*(1+Parâmetros!D11)*(1+Parâmetros!D14)</f>
        <v>0</v>
      </c>
      <c r="H148" s="146">
        <f>((E148+F148+G148)/3)*(1+Parâmetros!E11)*(1+Parâmetros!E14)</f>
        <v>0</v>
      </c>
      <c r="I148" s="146">
        <f>((F148+G148+H148)/3)*(1+Parâmetros!F11)*(1+Parâmetros!F14)</f>
        <v>0</v>
      </c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  <c r="BF148" s="41"/>
      <c r="BG148" s="41"/>
      <c r="BH148" s="41"/>
      <c r="BI148" s="41"/>
      <c r="BJ148" s="41"/>
      <c r="BK148" s="41"/>
      <c r="BL148" s="41"/>
      <c r="BM148" s="41"/>
      <c r="BN148" s="41"/>
      <c r="BO148" s="41"/>
      <c r="BP148" s="41"/>
      <c r="BQ148" s="41"/>
      <c r="BR148" s="41"/>
      <c r="BS148" s="41"/>
      <c r="BT148" s="41"/>
      <c r="BU148" s="41"/>
      <c r="BV148" s="41"/>
      <c r="BW148" s="41"/>
      <c r="BX148" s="41"/>
      <c r="BY148" s="41"/>
      <c r="BZ148" s="41"/>
      <c r="CA148" s="41"/>
      <c r="CB148" s="41"/>
      <c r="CC148" s="41"/>
      <c r="CD148" s="41"/>
      <c r="CE148" s="41"/>
      <c r="CF148" s="41"/>
      <c r="CG148" s="41"/>
      <c r="CH148" s="41"/>
      <c r="CI148" s="41"/>
      <c r="CJ148" s="41"/>
      <c r="CK148" s="41"/>
      <c r="CL148" s="41"/>
      <c r="CM148" s="41"/>
      <c r="CN148" s="41"/>
      <c r="CO148" s="41"/>
      <c r="CP148" s="41"/>
      <c r="CQ148" s="41"/>
      <c r="CR148" s="41"/>
      <c r="CS148" s="41"/>
      <c r="CT148" s="41"/>
      <c r="CU148" s="41"/>
      <c r="CV148" s="41"/>
      <c r="CW148" s="41"/>
      <c r="CX148" s="41"/>
      <c r="CY148" s="41"/>
      <c r="CZ148" s="41"/>
      <c r="DA148" s="41"/>
      <c r="DB148" s="41"/>
      <c r="DC148" s="41"/>
      <c r="DD148" s="41"/>
      <c r="DE148" s="41"/>
      <c r="DF148" s="41"/>
      <c r="DG148" s="41"/>
      <c r="DH148" s="41"/>
      <c r="DI148" s="41"/>
      <c r="DJ148" s="41"/>
      <c r="DK148" s="41"/>
      <c r="DL148" s="41"/>
      <c r="DM148" s="41"/>
      <c r="DN148" s="41"/>
      <c r="DO148" s="41"/>
      <c r="DP148" s="41"/>
      <c r="DQ148" s="41"/>
      <c r="DR148" s="41"/>
      <c r="DS148" s="41"/>
      <c r="DT148" s="41"/>
      <c r="DU148" s="41"/>
      <c r="DV148" s="41"/>
      <c r="DW148" s="41"/>
      <c r="DX148" s="41"/>
      <c r="DY148" s="41"/>
      <c r="DZ148" s="41"/>
      <c r="EA148" s="41"/>
      <c r="EB148" s="41"/>
      <c r="EC148" s="41"/>
      <c r="ED148" s="41"/>
      <c r="EE148" s="41"/>
      <c r="EF148" s="41"/>
      <c r="EG148" s="41"/>
      <c r="EH148" s="41"/>
      <c r="EI148" s="41"/>
      <c r="EJ148" s="41"/>
      <c r="EK148" s="41"/>
      <c r="EL148" s="41"/>
      <c r="EM148" s="41"/>
      <c r="EN148" s="41"/>
      <c r="EO148" s="41"/>
      <c r="EP148" s="41"/>
      <c r="EQ148" s="41"/>
      <c r="ER148" s="41"/>
      <c r="ES148" s="41"/>
      <c r="ET148" s="41"/>
      <c r="EU148" s="41"/>
      <c r="EV148" s="41"/>
      <c r="EW148" s="41"/>
      <c r="EX148" s="41"/>
      <c r="EY148" s="41"/>
      <c r="EZ148" s="41"/>
      <c r="FA148" s="41"/>
      <c r="FB148" s="41"/>
      <c r="FC148" s="41"/>
      <c r="FD148" s="41"/>
      <c r="FE148" s="41"/>
      <c r="FF148" s="41"/>
      <c r="FG148" s="41"/>
      <c r="FH148" s="41"/>
      <c r="FI148" s="41"/>
      <c r="FJ148" s="41"/>
      <c r="FK148" s="41"/>
      <c r="FL148" s="41"/>
      <c r="FM148" s="41"/>
      <c r="FN148" s="41"/>
      <c r="FO148" s="41"/>
      <c r="FP148" s="41"/>
      <c r="FQ148" s="41"/>
      <c r="FR148" s="41"/>
      <c r="FS148" s="41"/>
      <c r="FT148" s="41"/>
      <c r="FU148" s="41"/>
    </row>
    <row r="149" spans="1:177" s="35" customFormat="1" x14ac:dyDescent="0.25">
      <c r="A149" s="155" t="s">
        <v>189</v>
      </c>
      <c r="B149" s="156" t="s">
        <v>190</v>
      </c>
      <c r="C149" s="243">
        <f t="shared" ref="C149:I149" si="26">SUM(C150:C155)</f>
        <v>1040672.26</v>
      </c>
      <c r="D149" s="243">
        <f t="shared" si="26"/>
        <v>1192358.31</v>
      </c>
      <c r="E149" s="243">
        <f t="shared" si="26"/>
        <v>1335441.3072000002</v>
      </c>
      <c r="F149" s="161">
        <f>SUM(F150:F155)</f>
        <v>1432118.0830967943</v>
      </c>
      <c r="G149" s="161">
        <f t="shared" si="26"/>
        <v>1610570.5992128518</v>
      </c>
      <c r="H149" s="161">
        <f t="shared" si="26"/>
        <v>1731545.5073454771</v>
      </c>
      <c r="I149" s="161">
        <f t="shared" si="26"/>
        <v>1887658.8663524829</v>
      </c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1"/>
      <c r="AN149" s="41"/>
      <c r="AO149" s="41"/>
      <c r="AP149" s="41"/>
      <c r="AQ149" s="41"/>
      <c r="AR149" s="41"/>
      <c r="AS149" s="41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  <c r="BF149" s="41"/>
      <c r="BG149" s="41"/>
      <c r="BH149" s="41"/>
      <c r="BI149" s="41"/>
      <c r="BJ149" s="41"/>
      <c r="BK149" s="41"/>
      <c r="BL149" s="41"/>
      <c r="BM149" s="41"/>
      <c r="BN149" s="41"/>
      <c r="BO149" s="41"/>
      <c r="BP149" s="41"/>
      <c r="BQ149" s="41"/>
      <c r="BR149" s="41"/>
      <c r="BS149" s="41"/>
      <c r="BT149" s="41"/>
      <c r="BU149" s="41"/>
      <c r="BV149" s="41"/>
      <c r="BW149" s="41"/>
      <c r="BX149" s="41"/>
      <c r="BY149" s="41"/>
      <c r="BZ149" s="41"/>
      <c r="CA149" s="41"/>
      <c r="CB149" s="41"/>
      <c r="CC149" s="41"/>
      <c r="CD149" s="41"/>
      <c r="CE149" s="41"/>
      <c r="CF149" s="41"/>
      <c r="CG149" s="41"/>
      <c r="CH149" s="41"/>
      <c r="CI149" s="41"/>
      <c r="CJ149" s="41"/>
      <c r="CK149" s="41"/>
      <c r="CL149" s="41"/>
      <c r="CM149" s="41"/>
      <c r="CN149" s="41"/>
      <c r="CO149" s="41"/>
      <c r="CP149" s="41"/>
      <c r="CQ149" s="41"/>
      <c r="CR149" s="41"/>
      <c r="CS149" s="41"/>
      <c r="CT149" s="41"/>
      <c r="CU149" s="41"/>
      <c r="CV149" s="41"/>
      <c r="CW149" s="41"/>
      <c r="CX149" s="41"/>
      <c r="CY149" s="41"/>
      <c r="CZ149" s="41"/>
      <c r="DA149" s="41"/>
      <c r="DB149" s="41"/>
      <c r="DC149" s="41"/>
      <c r="DD149" s="41"/>
      <c r="DE149" s="41"/>
      <c r="DF149" s="41"/>
      <c r="DG149" s="41"/>
      <c r="DH149" s="41"/>
      <c r="DI149" s="41"/>
      <c r="DJ149" s="41"/>
      <c r="DK149" s="41"/>
      <c r="DL149" s="41"/>
      <c r="DM149" s="41"/>
      <c r="DN149" s="41"/>
      <c r="DO149" s="41"/>
      <c r="DP149" s="41"/>
      <c r="DQ149" s="41"/>
      <c r="DR149" s="41"/>
      <c r="DS149" s="41"/>
      <c r="DT149" s="41"/>
      <c r="DU149" s="41"/>
      <c r="DV149" s="41"/>
      <c r="DW149" s="41"/>
      <c r="DX149" s="41"/>
      <c r="DY149" s="41"/>
      <c r="DZ149" s="41"/>
      <c r="EA149" s="41"/>
      <c r="EB149" s="41"/>
      <c r="EC149" s="41"/>
      <c r="ED149" s="41"/>
      <c r="EE149" s="41"/>
      <c r="EF149" s="41"/>
      <c r="EG149" s="41"/>
      <c r="EH149" s="41"/>
      <c r="EI149" s="41"/>
      <c r="EJ149" s="41"/>
      <c r="EK149" s="41"/>
      <c r="EL149" s="41"/>
      <c r="EM149" s="41"/>
      <c r="EN149" s="41"/>
      <c r="EO149" s="41"/>
      <c r="EP149" s="41"/>
      <c r="EQ149" s="41"/>
      <c r="ER149" s="41"/>
      <c r="ES149" s="41"/>
      <c r="ET149" s="41"/>
      <c r="EU149" s="41"/>
      <c r="EV149" s="41"/>
      <c r="EW149" s="41"/>
      <c r="EX149" s="41"/>
      <c r="EY149" s="41"/>
      <c r="EZ149" s="41"/>
      <c r="FA149" s="41"/>
      <c r="FB149" s="41"/>
      <c r="FC149" s="41"/>
      <c r="FD149" s="41"/>
      <c r="FE149" s="41"/>
      <c r="FF149" s="41"/>
      <c r="FG149" s="41"/>
      <c r="FH149" s="41"/>
      <c r="FI149" s="41"/>
      <c r="FJ149" s="41"/>
      <c r="FK149" s="41"/>
      <c r="FL149" s="41"/>
      <c r="FM149" s="41"/>
      <c r="FN149" s="41"/>
      <c r="FO149" s="41"/>
      <c r="FP149" s="41"/>
      <c r="FQ149" s="41"/>
      <c r="FR149" s="41"/>
      <c r="FS149" s="41"/>
      <c r="FT149" s="41"/>
      <c r="FU149" s="41"/>
    </row>
    <row r="150" spans="1:177" s="35" customFormat="1" x14ac:dyDescent="0.25">
      <c r="A150" s="155"/>
      <c r="B150" s="158" t="s">
        <v>191</v>
      </c>
      <c r="C150" s="56">
        <v>15256.3</v>
      </c>
      <c r="D150" s="56">
        <v>16805.91</v>
      </c>
      <c r="E150" s="56">
        <f t="shared" ref="E150:E155" si="27">D150*1.12</f>
        <v>18822.619200000001</v>
      </c>
      <c r="F150" s="146">
        <f>((C150+D150+E150)/3)*(1+Parâmetros!C11)*(1+Parâmetros!C14)*1.15</f>
        <v>20805.213964726041</v>
      </c>
      <c r="G150" s="146">
        <f>((D150+E150+F150)/3)*(1+Parâmetros!D11)*(1+Parâmetros!D14)*1.15</f>
        <v>22952.63043921968</v>
      </c>
      <c r="H150" s="146">
        <f>((E150+F150+G150)/3)*(1+Parâmetros!E11)*(1+Parâmetros!E14)*1.12</f>
        <v>24750.503265241303</v>
      </c>
      <c r="I150" s="146">
        <f>((F150+G150+H150)/3)*(1+Parâmetros!F11)*(1+Parâmetros!F14)*1.12</f>
        <v>27087.148380176357</v>
      </c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41"/>
      <c r="AM150" s="41"/>
      <c r="AN150" s="41"/>
      <c r="AO150" s="41"/>
      <c r="AP150" s="41"/>
      <c r="AQ150" s="41"/>
      <c r="AR150" s="41"/>
      <c r="AS150" s="41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  <c r="BF150" s="41"/>
      <c r="BG150" s="41"/>
      <c r="BH150" s="41"/>
      <c r="BI150" s="41"/>
      <c r="BJ150" s="41"/>
      <c r="BK150" s="41"/>
      <c r="BL150" s="41"/>
      <c r="BM150" s="41"/>
      <c r="BN150" s="41"/>
      <c r="BO150" s="41"/>
      <c r="BP150" s="41"/>
      <c r="BQ150" s="41"/>
      <c r="BR150" s="41"/>
      <c r="BS150" s="41"/>
      <c r="BT150" s="41"/>
      <c r="BU150" s="41"/>
      <c r="BV150" s="41"/>
      <c r="BW150" s="41"/>
      <c r="BX150" s="41"/>
      <c r="BY150" s="41"/>
      <c r="BZ150" s="41"/>
      <c r="CA150" s="41"/>
      <c r="CB150" s="41"/>
      <c r="CC150" s="41"/>
      <c r="CD150" s="41"/>
      <c r="CE150" s="41"/>
      <c r="CF150" s="41"/>
      <c r="CG150" s="41"/>
      <c r="CH150" s="41"/>
      <c r="CI150" s="41"/>
      <c r="CJ150" s="41"/>
      <c r="CK150" s="41"/>
      <c r="CL150" s="41"/>
      <c r="CM150" s="41"/>
      <c r="CN150" s="41"/>
      <c r="CO150" s="41"/>
      <c r="CP150" s="41"/>
      <c r="CQ150" s="41"/>
      <c r="CR150" s="41"/>
      <c r="CS150" s="41"/>
      <c r="CT150" s="41"/>
      <c r="CU150" s="41"/>
      <c r="CV150" s="41"/>
      <c r="CW150" s="41"/>
      <c r="CX150" s="41"/>
      <c r="CY150" s="41"/>
      <c r="CZ150" s="41"/>
      <c r="DA150" s="41"/>
      <c r="DB150" s="41"/>
      <c r="DC150" s="41"/>
      <c r="DD150" s="41"/>
      <c r="DE150" s="41"/>
      <c r="DF150" s="41"/>
      <c r="DG150" s="41"/>
      <c r="DH150" s="41"/>
      <c r="DI150" s="41"/>
      <c r="DJ150" s="41"/>
      <c r="DK150" s="41"/>
      <c r="DL150" s="41"/>
      <c r="DM150" s="41"/>
      <c r="DN150" s="41"/>
      <c r="DO150" s="41"/>
      <c r="DP150" s="41"/>
      <c r="DQ150" s="41"/>
      <c r="DR150" s="41"/>
      <c r="DS150" s="41"/>
      <c r="DT150" s="41"/>
      <c r="DU150" s="41"/>
      <c r="DV150" s="41"/>
      <c r="DW150" s="41"/>
      <c r="DX150" s="41"/>
      <c r="DY150" s="41"/>
      <c r="DZ150" s="41"/>
      <c r="EA150" s="41"/>
      <c r="EB150" s="41"/>
      <c r="EC150" s="41"/>
      <c r="ED150" s="41"/>
      <c r="EE150" s="41"/>
      <c r="EF150" s="41"/>
      <c r="EG150" s="41"/>
      <c r="EH150" s="41"/>
      <c r="EI150" s="41"/>
      <c r="EJ150" s="41"/>
      <c r="EK150" s="41"/>
      <c r="EL150" s="41"/>
      <c r="EM150" s="41"/>
      <c r="EN150" s="41"/>
      <c r="EO150" s="41"/>
      <c r="EP150" s="41"/>
      <c r="EQ150" s="41"/>
      <c r="ER150" s="41"/>
      <c r="ES150" s="41"/>
      <c r="ET150" s="41"/>
      <c r="EU150" s="41"/>
      <c r="EV150" s="41"/>
      <c r="EW150" s="41"/>
      <c r="EX150" s="41"/>
      <c r="EY150" s="41"/>
      <c r="EZ150" s="41"/>
      <c r="FA150" s="41"/>
      <c r="FB150" s="41"/>
      <c r="FC150" s="41"/>
      <c r="FD150" s="41"/>
      <c r="FE150" s="41"/>
      <c r="FF150" s="41"/>
      <c r="FG150" s="41"/>
      <c r="FH150" s="41"/>
      <c r="FI150" s="41"/>
      <c r="FJ150" s="41"/>
      <c r="FK150" s="41"/>
      <c r="FL150" s="41"/>
      <c r="FM150" s="41"/>
      <c r="FN150" s="41"/>
      <c r="FO150" s="41"/>
      <c r="FP150" s="41"/>
      <c r="FQ150" s="41"/>
      <c r="FR150" s="41"/>
      <c r="FS150" s="41"/>
      <c r="FT150" s="41"/>
      <c r="FU150" s="41"/>
    </row>
    <row r="151" spans="1:177" s="35" customFormat="1" x14ac:dyDescent="0.25">
      <c r="A151" s="155"/>
      <c r="B151" s="158" t="s">
        <v>192</v>
      </c>
      <c r="C151" s="244">
        <v>252873.91</v>
      </c>
      <c r="D151" s="244">
        <v>312344.63</v>
      </c>
      <c r="E151" s="56">
        <f t="shared" si="27"/>
        <v>349825.98560000001</v>
      </c>
      <c r="F151" s="146">
        <f>((C151+D151+E151)/3)*(1+Parâmetros!C11)*(1+Parâmetros!C14)*1.15</f>
        <v>374133.06562418875</v>
      </c>
      <c r="G151" s="146">
        <f>((D151+E151+F151)/3)*(1+Parâmetros!D11)*(1+Parâmetros!D14)*1.15</f>
        <v>421483.56788087584</v>
      </c>
      <c r="H151" s="146">
        <f>((E151+F151+G151)/3)*(1+Parâmetros!E11)*(1+Parâmetros!E14)*1.12</f>
        <v>453021.27296031965</v>
      </c>
      <c r="I151" s="146">
        <f>((F151+G151+H151)/3)*(1+Parâmetros!F11)*(1+Parâmetros!F14)*1.12</f>
        <v>493692.24913816963</v>
      </c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  <c r="AR151" s="41"/>
      <c r="AS151" s="41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  <c r="BF151" s="41"/>
      <c r="BG151" s="41"/>
      <c r="BH151" s="41"/>
      <c r="BI151" s="41"/>
      <c r="BJ151" s="41"/>
      <c r="BK151" s="41"/>
      <c r="BL151" s="41"/>
      <c r="BM151" s="41"/>
      <c r="BN151" s="41"/>
      <c r="BO151" s="41"/>
      <c r="BP151" s="41"/>
      <c r="BQ151" s="41"/>
      <c r="BR151" s="41"/>
      <c r="BS151" s="41"/>
      <c r="BT151" s="41"/>
      <c r="BU151" s="41"/>
      <c r="BV151" s="41"/>
      <c r="BW151" s="41"/>
      <c r="BX151" s="41"/>
      <c r="BY151" s="41"/>
      <c r="BZ151" s="41"/>
      <c r="CA151" s="41"/>
      <c r="CB151" s="41"/>
      <c r="CC151" s="41"/>
      <c r="CD151" s="41"/>
      <c r="CE151" s="41"/>
      <c r="CF151" s="41"/>
      <c r="CG151" s="41"/>
      <c r="CH151" s="41"/>
      <c r="CI151" s="41"/>
      <c r="CJ151" s="41"/>
      <c r="CK151" s="41"/>
      <c r="CL151" s="41"/>
      <c r="CM151" s="41"/>
      <c r="CN151" s="41"/>
      <c r="CO151" s="41"/>
      <c r="CP151" s="41"/>
      <c r="CQ151" s="41"/>
      <c r="CR151" s="41"/>
      <c r="CS151" s="41"/>
      <c r="CT151" s="41"/>
      <c r="CU151" s="41"/>
      <c r="CV151" s="41"/>
      <c r="CW151" s="41"/>
      <c r="CX151" s="41"/>
      <c r="CY151" s="41"/>
      <c r="CZ151" s="41"/>
      <c r="DA151" s="41"/>
      <c r="DB151" s="41"/>
      <c r="DC151" s="41"/>
      <c r="DD151" s="41"/>
      <c r="DE151" s="41"/>
      <c r="DF151" s="41"/>
      <c r="DG151" s="41"/>
      <c r="DH151" s="41"/>
      <c r="DI151" s="41"/>
      <c r="DJ151" s="41"/>
      <c r="DK151" s="41"/>
      <c r="DL151" s="41"/>
      <c r="DM151" s="41"/>
      <c r="DN151" s="41"/>
      <c r="DO151" s="41"/>
      <c r="DP151" s="41"/>
      <c r="DQ151" s="41"/>
      <c r="DR151" s="41"/>
      <c r="DS151" s="41"/>
      <c r="DT151" s="41"/>
      <c r="DU151" s="41"/>
      <c r="DV151" s="41"/>
      <c r="DW151" s="41"/>
      <c r="DX151" s="41"/>
      <c r="DY151" s="41"/>
      <c r="DZ151" s="41"/>
      <c r="EA151" s="41"/>
      <c r="EB151" s="41"/>
      <c r="EC151" s="41"/>
      <c r="ED151" s="41"/>
      <c r="EE151" s="41"/>
      <c r="EF151" s="41"/>
      <c r="EG151" s="41"/>
      <c r="EH151" s="41"/>
      <c r="EI151" s="41"/>
      <c r="EJ151" s="41"/>
      <c r="EK151" s="41"/>
      <c r="EL151" s="41"/>
      <c r="EM151" s="41"/>
      <c r="EN151" s="41"/>
      <c r="EO151" s="41"/>
      <c r="EP151" s="41"/>
      <c r="EQ151" s="41"/>
      <c r="ER151" s="41"/>
      <c r="ES151" s="41"/>
      <c r="ET151" s="41"/>
      <c r="EU151" s="41"/>
      <c r="EV151" s="41"/>
      <c r="EW151" s="41"/>
      <c r="EX151" s="41"/>
      <c r="EY151" s="41"/>
      <c r="EZ151" s="41"/>
      <c r="FA151" s="41"/>
      <c r="FB151" s="41"/>
      <c r="FC151" s="41"/>
      <c r="FD151" s="41"/>
      <c r="FE151" s="41"/>
      <c r="FF151" s="41"/>
      <c r="FG151" s="41"/>
      <c r="FH151" s="41"/>
      <c r="FI151" s="41"/>
      <c r="FJ151" s="41"/>
      <c r="FK151" s="41"/>
      <c r="FL151" s="41"/>
      <c r="FM151" s="41"/>
      <c r="FN151" s="41"/>
      <c r="FO151" s="41"/>
      <c r="FP151" s="41"/>
      <c r="FQ151" s="41"/>
      <c r="FR151" s="41"/>
      <c r="FS151" s="41"/>
      <c r="FT151" s="41"/>
      <c r="FU151" s="41"/>
    </row>
    <row r="152" spans="1:177" s="6" customFormat="1" ht="15" x14ac:dyDescent="0.2">
      <c r="A152" s="157"/>
      <c r="B152" s="158" t="s">
        <v>193</v>
      </c>
      <c r="C152" s="244">
        <v>451895.3</v>
      </c>
      <c r="D152" s="244">
        <v>501102.84</v>
      </c>
      <c r="E152" s="56">
        <f t="shared" si="27"/>
        <v>561235.18080000009</v>
      </c>
      <c r="F152" s="146">
        <f>((C152+D152+E152)/3)*(1+Parâmetros!C11)*(1+Parâmetros!C14)*1.1</f>
        <v>592204.23505164962</v>
      </c>
      <c r="G152" s="146">
        <f>((D152+E152+F152)/3)*(1+Parâmetros!D11)*(1+Parâmetros!D14)*1.15</f>
        <v>672932.44812392246</v>
      </c>
      <c r="H152" s="146">
        <f>((E152+F152+G152)/3)*(1+Parâmetros!E11)*(1+Parâmetros!E14)*1.12</f>
        <v>722328.02666585124</v>
      </c>
      <c r="I152" s="146">
        <f>((F152+G152+H152)/3)*(1+Parâmetros!F11)*(1+Parâmetros!F14)*1.12</f>
        <v>785813.01881335583</v>
      </c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/>
      <c r="AO152" s="41"/>
      <c r="AP152" s="41"/>
      <c r="AQ152" s="41"/>
      <c r="AR152" s="41"/>
      <c r="AS152" s="41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  <c r="BF152" s="41"/>
      <c r="BG152" s="41"/>
      <c r="BH152" s="41"/>
      <c r="BI152" s="41"/>
      <c r="BJ152" s="41"/>
      <c r="BK152" s="41"/>
      <c r="BL152" s="41"/>
      <c r="BM152" s="41"/>
      <c r="BN152" s="41"/>
      <c r="BO152" s="41"/>
      <c r="BP152" s="41"/>
      <c r="BQ152" s="41"/>
      <c r="BR152" s="41"/>
      <c r="BS152" s="41"/>
      <c r="BT152" s="41"/>
      <c r="BU152" s="41"/>
      <c r="BV152" s="41"/>
      <c r="BW152" s="41"/>
      <c r="BX152" s="41"/>
      <c r="BY152" s="41"/>
      <c r="BZ152" s="41"/>
      <c r="CA152" s="41"/>
      <c r="CB152" s="41"/>
      <c r="CC152" s="41"/>
      <c r="CD152" s="41"/>
      <c r="CE152" s="41"/>
      <c r="CF152" s="41"/>
      <c r="CG152" s="41"/>
      <c r="CH152" s="41"/>
      <c r="CI152" s="41"/>
      <c r="CJ152" s="41"/>
      <c r="CK152" s="41"/>
      <c r="CL152" s="41"/>
      <c r="CM152" s="41"/>
      <c r="CN152" s="41"/>
      <c r="CO152" s="41"/>
      <c r="CP152" s="41"/>
      <c r="CQ152" s="41"/>
      <c r="CR152" s="41"/>
      <c r="CS152" s="41"/>
      <c r="CT152" s="41"/>
      <c r="CU152" s="41"/>
      <c r="CV152" s="41"/>
      <c r="CW152" s="41"/>
      <c r="CX152" s="41"/>
      <c r="CY152" s="41"/>
      <c r="CZ152" s="41"/>
      <c r="DA152" s="41"/>
      <c r="DB152" s="41"/>
      <c r="DC152" s="41"/>
      <c r="DD152" s="41"/>
      <c r="DE152" s="41"/>
      <c r="DF152" s="41"/>
      <c r="DG152" s="41"/>
      <c r="DH152" s="41"/>
      <c r="DI152" s="41"/>
      <c r="DJ152" s="41"/>
      <c r="DK152" s="41"/>
      <c r="DL152" s="41"/>
      <c r="DM152" s="41"/>
      <c r="DN152" s="41"/>
      <c r="DO152" s="41"/>
      <c r="DP152" s="41"/>
      <c r="DQ152" s="41"/>
      <c r="DR152" s="41"/>
      <c r="DS152" s="41"/>
      <c r="DT152" s="41"/>
      <c r="DU152" s="41"/>
      <c r="DV152" s="41"/>
      <c r="DW152" s="41"/>
      <c r="DX152" s="41"/>
      <c r="DY152" s="41"/>
      <c r="DZ152" s="41"/>
      <c r="EA152" s="41"/>
      <c r="EB152" s="41"/>
      <c r="EC152" s="41"/>
      <c r="ED152" s="41"/>
      <c r="EE152" s="41"/>
      <c r="EF152" s="41"/>
      <c r="EG152" s="41"/>
      <c r="EH152" s="41"/>
      <c r="EI152" s="41"/>
      <c r="EJ152" s="41"/>
      <c r="EK152" s="41"/>
      <c r="EL152" s="41"/>
      <c r="EM152" s="41"/>
      <c r="EN152" s="41"/>
      <c r="EO152" s="41"/>
      <c r="EP152" s="41"/>
      <c r="EQ152" s="41"/>
      <c r="ER152" s="41"/>
      <c r="ES152" s="41"/>
      <c r="ET152" s="41"/>
      <c r="EU152" s="41"/>
      <c r="EV152" s="41"/>
      <c r="EW152" s="41"/>
      <c r="EX152" s="41"/>
      <c r="EY152" s="41"/>
      <c r="EZ152" s="41"/>
      <c r="FA152" s="41"/>
      <c r="FB152" s="41"/>
      <c r="FC152" s="41"/>
      <c r="FD152" s="41"/>
      <c r="FE152" s="41"/>
      <c r="FF152" s="41"/>
      <c r="FG152" s="41"/>
      <c r="FH152" s="41"/>
      <c r="FI152" s="41"/>
      <c r="FJ152" s="41"/>
      <c r="FK152" s="41"/>
      <c r="FL152" s="41"/>
      <c r="FM152" s="41"/>
      <c r="FN152" s="41"/>
      <c r="FO152" s="41"/>
      <c r="FP152" s="41"/>
      <c r="FQ152" s="41"/>
      <c r="FR152" s="41"/>
      <c r="FS152" s="41"/>
      <c r="FT152" s="41"/>
      <c r="FU152" s="41"/>
    </row>
    <row r="153" spans="1:177" s="6" customFormat="1" ht="15" x14ac:dyDescent="0.2">
      <c r="A153" s="157"/>
      <c r="B153" s="158" t="s">
        <v>194</v>
      </c>
      <c r="C153" s="244">
        <v>22374.19</v>
      </c>
      <c r="D153" s="244">
        <v>28394.47</v>
      </c>
      <c r="E153" s="56">
        <f t="shared" si="27"/>
        <v>31801.806400000005</v>
      </c>
      <c r="F153" s="146">
        <f>((C153+D153+E153)/3)*(1+Parâmetros!C11)*(1+Parâmetros!C14)*1.15</f>
        <v>33760.479255361679</v>
      </c>
      <c r="G153" s="146">
        <f>((D153+E153+F153)/3)*(1+Parâmetros!D11)*(1+Parâmetros!D14)*1.15</f>
        <v>38213.922537988525</v>
      </c>
      <c r="H153" s="146">
        <f>((E153+F153+G153)/3)*(1+Parâmetros!E11)*(1+Parâmetros!E14)*1.12</f>
        <v>41043.374111116835</v>
      </c>
      <c r="I153" s="146">
        <f>((F153+G153+H153)/3)*(1+Parâmetros!F11)*(1+Parâmetros!F14)*1.12</f>
        <v>44685.492639588381</v>
      </c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41"/>
      <c r="AL153" s="41"/>
      <c r="AM153" s="41"/>
      <c r="AN153" s="41"/>
      <c r="AO153" s="41"/>
      <c r="AP153" s="41"/>
      <c r="AQ153" s="41"/>
      <c r="AR153" s="41"/>
      <c r="AS153" s="41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  <c r="BF153" s="41"/>
      <c r="BG153" s="41"/>
      <c r="BH153" s="41"/>
      <c r="BI153" s="41"/>
      <c r="BJ153" s="41"/>
      <c r="BK153" s="41"/>
      <c r="BL153" s="41"/>
      <c r="BM153" s="41"/>
      <c r="BN153" s="41"/>
      <c r="BO153" s="41"/>
      <c r="BP153" s="41"/>
      <c r="BQ153" s="41"/>
      <c r="BR153" s="41"/>
      <c r="BS153" s="41"/>
      <c r="BT153" s="41"/>
      <c r="BU153" s="41"/>
      <c r="BV153" s="41"/>
      <c r="BW153" s="41"/>
      <c r="BX153" s="41"/>
      <c r="BY153" s="41"/>
      <c r="BZ153" s="41"/>
      <c r="CA153" s="41"/>
      <c r="CB153" s="41"/>
      <c r="CC153" s="41"/>
      <c r="CD153" s="41"/>
      <c r="CE153" s="41"/>
      <c r="CF153" s="41"/>
      <c r="CG153" s="41"/>
      <c r="CH153" s="41"/>
      <c r="CI153" s="41"/>
      <c r="CJ153" s="41"/>
      <c r="CK153" s="41"/>
      <c r="CL153" s="41"/>
      <c r="CM153" s="41"/>
      <c r="CN153" s="41"/>
      <c r="CO153" s="41"/>
      <c r="CP153" s="41"/>
      <c r="CQ153" s="41"/>
      <c r="CR153" s="41"/>
      <c r="CS153" s="41"/>
      <c r="CT153" s="41"/>
      <c r="CU153" s="41"/>
      <c r="CV153" s="41"/>
      <c r="CW153" s="41"/>
      <c r="CX153" s="41"/>
      <c r="CY153" s="41"/>
      <c r="CZ153" s="41"/>
      <c r="DA153" s="41"/>
      <c r="DB153" s="41"/>
      <c r="DC153" s="41"/>
      <c r="DD153" s="41"/>
      <c r="DE153" s="41"/>
      <c r="DF153" s="41"/>
      <c r="DG153" s="41"/>
      <c r="DH153" s="41"/>
      <c r="DI153" s="41"/>
      <c r="DJ153" s="41"/>
      <c r="DK153" s="41"/>
      <c r="DL153" s="41"/>
      <c r="DM153" s="41"/>
      <c r="DN153" s="41"/>
      <c r="DO153" s="41"/>
      <c r="DP153" s="41"/>
      <c r="DQ153" s="41"/>
      <c r="DR153" s="41"/>
      <c r="DS153" s="41"/>
      <c r="DT153" s="41"/>
      <c r="DU153" s="41"/>
      <c r="DV153" s="41"/>
      <c r="DW153" s="41"/>
      <c r="DX153" s="41"/>
      <c r="DY153" s="41"/>
      <c r="DZ153" s="41"/>
      <c r="EA153" s="41"/>
      <c r="EB153" s="41"/>
      <c r="EC153" s="41"/>
      <c r="ED153" s="41"/>
      <c r="EE153" s="41"/>
      <c r="EF153" s="41"/>
      <c r="EG153" s="41"/>
      <c r="EH153" s="41"/>
      <c r="EI153" s="41"/>
      <c r="EJ153" s="41"/>
      <c r="EK153" s="41"/>
      <c r="EL153" s="41"/>
      <c r="EM153" s="41"/>
      <c r="EN153" s="41"/>
      <c r="EO153" s="41"/>
      <c r="EP153" s="41"/>
      <c r="EQ153" s="41"/>
      <c r="ER153" s="41"/>
      <c r="ES153" s="41"/>
      <c r="ET153" s="41"/>
      <c r="EU153" s="41"/>
      <c r="EV153" s="41"/>
      <c r="EW153" s="41"/>
      <c r="EX153" s="41"/>
      <c r="EY153" s="41"/>
      <c r="EZ153" s="41"/>
      <c r="FA153" s="41"/>
      <c r="FB153" s="41"/>
      <c r="FC153" s="41"/>
      <c r="FD153" s="41"/>
      <c r="FE153" s="41"/>
      <c r="FF153" s="41"/>
      <c r="FG153" s="41"/>
      <c r="FH153" s="41"/>
      <c r="FI153" s="41"/>
      <c r="FJ153" s="41"/>
      <c r="FK153" s="41"/>
      <c r="FL153" s="41"/>
      <c r="FM153" s="41"/>
      <c r="FN153" s="41"/>
      <c r="FO153" s="41"/>
      <c r="FP153" s="41"/>
      <c r="FQ153" s="41"/>
      <c r="FR153" s="41"/>
      <c r="FS153" s="41"/>
      <c r="FT153" s="41"/>
      <c r="FU153" s="41"/>
    </row>
    <row r="154" spans="1:177" s="6" customFormat="1" ht="15" x14ac:dyDescent="0.2">
      <c r="A154" s="157"/>
      <c r="B154" s="158" t="s">
        <v>195</v>
      </c>
      <c r="C154" s="56"/>
      <c r="D154" s="56"/>
      <c r="E154" s="56">
        <f t="shared" si="27"/>
        <v>0</v>
      </c>
      <c r="F154" s="146">
        <f>((C154+D154+E154)/3)*(1+Parâmetros!C11)*(1+Parâmetros!C14)</f>
        <v>0</v>
      </c>
      <c r="G154" s="146">
        <f>((D154+E154+F154)/3)*(1+Parâmetros!D11)*(1+Parâmetros!D14)</f>
        <v>0</v>
      </c>
      <c r="H154" s="146">
        <f>((E154+F154+G154)/3)*(1+Parâmetros!E11)*(1+Parâmetros!E14)</f>
        <v>0</v>
      </c>
      <c r="I154" s="146">
        <f>((F154+G154+H154)/3)*(1+Parâmetros!F11)*(1+Parâmetros!F14)</f>
        <v>0</v>
      </c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41"/>
      <c r="AL154" s="41"/>
      <c r="AM154" s="41"/>
      <c r="AN154" s="41"/>
      <c r="AO154" s="41"/>
      <c r="AP154" s="41"/>
      <c r="AQ154" s="41"/>
      <c r="AR154" s="41"/>
      <c r="AS154" s="41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  <c r="BF154" s="41"/>
      <c r="BG154" s="41"/>
      <c r="BH154" s="41"/>
      <c r="BI154" s="41"/>
      <c r="BJ154" s="41"/>
      <c r="BK154" s="41"/>
      <c r="BL154" s="41"/>
      <c r="BM154" s="41"/>
      <c r="BN154" s="41"/>
      <c r="BO154" s="41"/>
      <c r="BP154" s="41"/>
      <c r="BQ154" s="41"/>
      <c r="BR154" s="41"/>
      <c r="BS154" s="41"/>
      <c r="BT154" s="41"/>
      <c r="BU154" s="41"/>
      <c r="BV154" s="41"/>
      <c r="BW154" s="41"/>
      <c r="BX154" s="41"/>
      <c r="BY154" s="41"/>
      <c r="BZ154" s="41"/>
      <c r="CA154" s="41"/>
      <c r="CB154" s="41"/>
      <c r="CC154" s="41"/>
      <c r="CD154" s="41"/>
      <c r="CE154" s="41"/>
      <c r="CF154" s="41"/>
      <c r="CG154" s="41"/>
      <c r="CH154" s="41"/>
      <c r="CI154" s="41"/>
      <c r="CJ154" s="41"/>
      <c r="CK154" s="41"/>
      <c r="CL154" s="41"/>
      <c r="CM154" s="41"/>
      <c r="CN154" s="41"/>
      <c r="CO154" s="41"/>
      <c r="CP154" s="41"/>
      <c r="CQ154" s="41"/>
      <c r="CR154" s="41"/>
      <c r="CS154" s="41"/>
      <c r="CT154" s="41"/>
      <c r="CU154" s="41"/>
      <c r="CV154" s="41"/>
      <c r="CW154" s="41"/>
      <c r="CX154" s="41"/>
      <c r="CY154" s="41"/>
      <c r="CZ154" s="41"/>
      <c r="DA154" s="41"/>
      <c r="DB154" s="41"/>
      <c r="DC154" s="41"/>
      <c r="DD154" s="41"/>
      <c r="DE154" s="41"/>
      <c r="DF154" s="41"/>
      <c r="DG154" s="41"/>
      <c r="DH154" s="41"/>
      <c r="DI154" s="41"/>
      <c r="DJ154" s="41"/>
      <c r="DK154" s="41"/>
      <c r="DL154" s="41"/>
      <c r="DM154" s="41"/>
      <c r="DN154" s="41"/>
      <c r="DO154" s="41"/>
      <c r="DP154" s="41"/>
      <c r="DQ154" s="41"/>
      <c r="DR154" s="41"/>
      <c r="DS154" s="41"/>
      <c r="DT154" s="41"/>
      <c r="DU154" s="41"/>
      <c r="DV154" s="41"/>
      <c r="DW154" s="41"/>
      <c r="DX154" s="41"/>
      <c r="DY154" s="41"/>
      <c r="DZ154" s="41"/>
      <c r="EA154" s="41"/>
      <c r="EB154" s="41"/>
      <c r="EC154" s="41"/>
      <c r="ED154" s="41"/>
      <c r="EE154" s="41"/>
      <c r="EF154" s="41"/>
      <c r="EG154" s="41"/>
      <c r="EH154" s="41"/>
      <c r="EI154" s="41"/>
      <c r="EJ154" s="41"/>
      <c r="EK154" s="41"/>
      <c r="EL154" s="41"/>
      <c r="EM154" s="41"/>
      <c r="EN154" s="41"/>
      <c r="EO154" s="41"/>
      <c r="EP154" s="41"/>
      <c r="EQ154" s="41"/>
      <c r="ER154" s="41"/>
      <c r="ES154" s="41"/>
      <c r="ET154" s="41"/>
      <c r="EU154" s="41"/>
      <c r="EV154" s="41"/>
      <c r="EW154" s="41"/>
      <c r="EX154" s="41"/>
      <c r="EY154" s="41"/>
      <c r="EZ154" s="41"/>
      <c r="FA154" s="41"/>
      <c r="FB154" s="41"/>
      <c r="FC154" s="41"/>
      <c r="FD154" s="41"/>
      <c r="FE154" s="41"/>
      <c r="FF154" s="41"/>
      <c r="FG154" s="41"/>
      <c r="FH154" s="41"/>
      <c r="FI154" s="41"/>
      <c r="FJ154" s="41"/>
      <c r="FK154" s="41"/>
      <c r="FL154" s="41"/>
      <c r="FM154" s="41"/>
      <c r="FN154" s="41"/>
      <c r="FO154" s="41"/>
      <c r="FP154" s="41"/>
      <c r="FQ154" s="41"/>
      <c r="FR154" s="41"/>
      <c r="FS154" s="41"/>
      <c r="FT154" s="41"/>
      <c r="FU154" s="41"/>
    </row>
    <row r="155" spans="1:177" s="6" customFormat="1" ht="15" x14ac:dyDescent="0.2">
      <c r="A155" s="157"/>
      <c r="B155" s="158" t="s">
        <v>196</v>
      </c>
      <c r="C155" s="56">
        <f>1025415.96-(SUM(C151:C153))</f>
        <v>298272.56000000006</v>
      </c>
      <c r="D155" s="242">
        <f>1175552.4-(SUM(D151:D153))</f>
        <v>333710.45999999996</v>
      </c>
      <c r="E155" s="56">
        <f t="shared" si="27"/>
        <v>373755.71519999998</v>
      </c>
      <c r="F155" s="146">
        <f>((C155+D155+E155)/3)*(1+Parâmetros!C11)*(1+Parâmetros!C14)*1.15</f>
        <v>411215.08920086827</v>
      </c>
      <c r="G155" s="146">
        <f>((D155+E155+F155)/3)*(1+Parâmetros!D11)*(1+Parâmetros!D14)*1.15</f>
        <v>454988.03023084521</v>
      </c>
      <c r="H155" s="146">
        <f>((E155+F155+G155)/3)*(1+Parâmetros!E11)*(1+Parâmetros!E14)*1.12</f>
        <v>490402.33034294791</v>
      </c>
      <c r="I155" s="146">
        <f>((F155+G155+H155)/3)*(1+Parâmetros!F11)*(1+Parâmetros!F14)*1.12</f>
        <v>536380.95738119259</v>
      </c>
      <c r="J155" s="41"/>
      <c r="K155" s="54" t="s">
        <v>145</v>
      </c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41"/>
      <c r="AL155" s="41"/>
      <c r="AM155" s="41"/>
      <c r="AN155" s="41"/>
      <c r="AO155" s="41"/>
      <c r="AP155" s="41"/>
      <c r="AQ155" s="41"/>
      <c r="AR155" s="41"/>
      <c r="AS155" s="41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  <c r="BF155" s="41"/>
      <c r="BG155" s="41"/>
      <c r="BH155" s="41"/>
      <c r="BI155" s="41"/>
      <c r="BJ155" s="41"/>
      <c r="BK155" s="41"/>
      <c r="BL155" s="41"/>
      <c r="BM155" s="41"/>
      <c r="BN155" s="41"/>
      <c r="BO155" s="41"/>
      <c r="BP155" s="41"/>
      <c r="BQ155" s="41"/>
      <c r="BR155" s="41"/>
      <c r="BS155" s="41"/>
      <c r="BT155" s="41"/>
      <c r="BU155" s="41"/>
      <c r="BV155" s="41"/>
      <c r="BW155" s="41"/>
      <c r="BX155" s="41"/>
      <c r="BY155" s="41"/>
      <c r="BZ155" s="41"/>
      <c r="CA155" s="41"/>
      <c r="CB155" s="41"/>
      <c r="CC155" s="41"/>
      <c r="CD155" s="41"/>
      <c r="CE155" s="41"/>
      <c r="CF155" s="41"/>
      <c r="CG155" s="41"/>
      <c r="CH155" s="41"/>
      <c r="CI155" s="41"/>
      <c r="CJ155" s="41"/>
      <c r="CK155" s="41"/>
      <c r="CL155" s="41"/>
      <c r="CM155" s="41"/>
      <c r="CN155" s="41"/>
      <c r="CO155" s="41"/>
      <c r="CP155" s="41"/>
      <c r="CQ155" s="41"/>
      <c r="CR155" s="41"/>
      <c r="CS155" s="41"/>
      <c r="CT155" s="41"/>
      <c r="CU155" s="41"/>
      <c r="CV155" s="41"/>
      <c r="CW155" s="41"/>
      <c r="CX155" s="41"/>
      <c r="CY155" s="41"/>
      <c r="CZ155" s="41"/>
      <c r="DA155" s="41"/>
      <c r="DB155" s="41"/>
      <c r="DC155" s="41"/>
      <c r="DD155" s="41"/>
      <c r="DE155" s="41"/>
      <c r="DF155" s="41"/>
      <c r="DG155" s="41"/>
      <c r="DH155" s="41"/>
      <c r="DI155" s="41"/>
      <c r="DJ155" s="41"/>
      <c r="DK155" s="41"/>
      <c r="DL155" s="41"/>
      <c r="DM155" s="41"/>
      <c r="DN155" s="41"/>
      <c r="DO155" s="41"/>
      <c r="DP155" s="41"/>
      <c r="DQ155" s="41"/>
      <c r="DR155" s="41"/>
      <c r="DS155" s="41"/>
      <c r="DT155" s="41"/>
      <c r="DU155" s="41"/>
      <c r="DV155" s="41"/>
      <c r="DW155" s="41"/>
      <c r="DX155" s="41"/>
      <c r="DY155" s="41"/>
      <c r="DZ155" s="41"/>
      <c r="EA155" s="41"/>
      <c r="EB155" s="41"/>
      <c r="EC155" s="41"/>
      <c r="ED155" s="41"/>
      <c r="EE155" s="41"/>
      <c r="EF155" s="41"/>
      <c r="EG155" s="41"/>
      <c r="EH155" s="41"/>
      <c r="EI155" s="41"/>
      <c r="EJ155" s="41"/>
      <c r="EK155" s="41"/>
      <c r="EL155" s="41"/>
      <c r="EM155" s="41"/>
      <c r="EN155" s="41"/>
      <c r="EO155" s="41"/>
      <c r="EP155" s="41"/>
      <c r="EQ155" s="41"/>
      <c r="ER155" s="41"/>
      <c r="ES155" s="41"/>
      <c r="ET155" s="41"/>
      <c r="EU155" s="41"/>
      <c r="EV155" s="41"/>
      <c r="EW155" s="41"/>
      <c r="EX155" s="41"/>
      <c r="EY155" s="41"/>
      <c r="EZ155" s="41"/>
      <c r="FA155" s="41"/>
      <c r="FB155" s="41"/>
      <c r="FC155" s="41"/>
      <c r="FD155" s="41"/>
      <c r="FE155" s="41"/>
      <c r="FF155" s="41"/>
      <c r="FG155" s="41"/>
      <c r="FH155" s="41"/>
      <c r="FI155" s="41"/>
      <c r="FJ155" s="41"/>
      <c r="FK155" s="41"/>
      <c r="FL155" s="41"/>
      <c r="FM155" s="41"/>
      <c r="FN155" s="41"/>
      <c r="FO155" s="41"/>
      <c r="FP155" s="41"/>
      <c r="FQ155" s="41"/>
      <c r="FR155" s="41"/>
      <c r="FS155" s="41"/>
      <c r="FT155" s="41"/>
      <c r="FU155" s="41"/>
    </row>
    <row r="156" spans="1:177" s="35" customFormat="1" x14ac:dyDescent="0.25">
      <c r="A156" s="155" t="s">
        <v>180</v>
      </c>
      <c r="B156" s="156" t="s">
        <v>181</v>
      </c>
      <c r="C156" s="243">
        <f t="shared" ref="C156:I156" si="28">SUM(C157:C162)</f>
        <v>260816.97</v>
      </c>
      <c r="D156" s="243">
        <f t="shared" si="28"/>
        <v>279926.32</v>
      </c>
      <c r="E156" s="243">
        <f t="shared" si="28"/>
        <v>307918.95200000005</v>
      </c>
      <c r="F156" s="161">
        <f t="shared" si="28"/>
        <v>325396.90570178011</v>
      </c>
      <c r="G156" s="161">
        <f t="shared" si="28"/>
        <v>341983.62476834108</v>
      </c>
      <c r="H156" s="161">
        <f t="shared" si="28"/>
        <v>364660.57529764844</v>
      </c>
      <c r="I156" s="161">
        <f t="shared" si="28"/>
        <v>385764.58084272308</v>
      </c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41"/>
      <c r="AL156" s="41"/>
      <c r="AM156" s="41"/>
      <c r="AN156" s="41"/>
      <c r="AO156" s="41"/>
      <c r="AP156" s="41"/>
      <c r="AQ156" s="41"/>
      <c r="AR156" s="41"/>
      <c r="AS156" s="41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  <c r="BF156" s="41"/>
      <c r="BG156" s="41"/>
      <c r="BH156" s="41"/>
      <c r="BI156" s="41"/>
      <c r="BJ156" s="41"/>
      <c r="BK156" s="41"/>
      <c r="BL156" s="41"/>
      <c r="BM156" s="41"/>
      <c r="BN156" s="41"/>
      <c r="BO156" s="41"/>
      <c r="BP156" s="41"/>
      <c r="BQ156" s="41"/>
      <c r="BR156" s="41"/>
      <c r="BS156" s="41"/>
      <c r="BT156" s="41"/>
      <c r="BU156" s="41"/>
      <c r="BV156" s="41"/>
      <c r="BW156" s="41"/>
      <c r="BX156" s="41"/>
      <c r="BY156" s="41"/>
      <c r="BZ156" s="41"/>
      <c r="CA156" s="41"/>
      <c r="CB156" s="41"/>
      <c r="CC156" s="41"/>
      <c r="CD156" s="41"/>
      <c r="CE156" s="41"/>
      <c r="CF156" s="41"/>
      <c r="CG156" s="41"/>
      <c r="CH156" s="41"/>
      <c r="CI156" s="41"/>
      <c r="CJ156" s="41"/>
      <c r="CK156" s="41"/>
      <c r="CL156" s="41"/>
      <c r="CM156" s="41"/>
      <c r="CN156" s="41"/>
      <c r="CO156" s="41"/>
      <c r="CP156" s="41"/>
      <c r="CQ156" s="41"/>
      <c r="CR156" s="41"/>
      <c r="CS156" s="41"/>
      <c r="CT156" s="41"/>
      <c r="CU156" s="41"/>
      <c r="CV156" s="41"/>
      <c r="CW156" s="41"/>
      <c r="CX156" s="41"/>
      <c r="CY156" s="41"/>
      <c r="CZ156" s="41"/>
      <c r="DA156" s="41"/>
      <c r="DB156" s="41"/>
      <c r="DC156" s="41"/>
      <c r="DD156" s="41"/>
      <c r="DE156" s="41"/>
      <c r="DF156" s="41"/>
      <c r="DG156" s="41"/>
      <c r="DH156" s="41"/>
      <c r="DI156" s="41"/>
      <c r="DJ156" s="41"/>
      <c r="DK156" s="41"/>
      <c r="DL156" s="41"/>
      <c r="DM156" s="41"/>
      <c r="DN156" s="41"/>
      <c r="DO156" s="41"/>
      <c r="DP156" s="41"/>
      <c r="DQ156" s="41"/>
      <c r="DR156" s="41"/>
      <c r="DS156" s="41"/>
      <c r="DT156" s="41"/>
      <c r="DU156" s="41"/>
      <c r="DV156" s="41"/>
      <c r="DW156" s="41"/>
      <c r="DX156" s="41"/>
      <c r="DY156" s="41"/>
      <c r="DZ156" s="41"/>
      <c r="EA156" s="41"/>
      <c r="EB156" s="41"/>
      <c r="EC156" s="41"/>
      <c r="ED156" s="41"/>
      <c r="EE156" s="41"/>
      <c r="EF156" s="41"/>
      <c r="EG156" s="41"/>
      <c r="EH156" s="41"/>
      <c r="EI156" s="41"/>
      <c r="EJ156" s="41"/>
      <c r="EK156" s="41"/>
      <c r="EL156" s="41"/>
      <c r="EM156" s="41"/>
      <c r="EN156" s="41"/>
      <c r="EO156" s="41"/>
      <c r="EP156" s="41"/>
      <c r="EQ156" s="41"/>
      <c r="ER156" s="41"/>
      <c r="ES156" s="41"/>
      <c r="ET156" s="41"/>
      <c r="EU156" s="41"/>
      <c r="EV156" s="41"/>
      <c r="EW156" s="41"/>
      <c r="EX156" s="41"/>
      <c r="EY156" s="41"/>
      <c r="EZ156" s="41"/>
      <c r="FA156" s="41"/>
      <c r="FB156" s="41"/>
      <c r="FC156" s="41"/>
      <c r="FD156" s="41"/>
      <c r="FE156" s="41"/>
      <c r="FF156" s="41"/>
      <c r="FG156" s="41"/>
      <c r="FH156" s="41"/>
      <c r="FI156" s="41"/>
      <c r="FJ156" s="41"/>
      <c r="FK156" s="41"/>
      <c r="FL156" s="41"/>
      <c r="FM156" s="41"/>
      <c r="FN156" s="41"/>
      <c r="FO156" s="41"/>
      <c r="FP156" s="41"/>
      <c r="FQ156" s="41"/>
      <c r="FR156" s="41"/>
      <c r="FS156" s="41"/>
      <c r="FT156" s="41"/>
      <c r="FU156" s="41"/>
    </row>
    <row r="157" spans="1:177" s="35" customFormat="1" x14ac:dyDescent="0.25">
      <c r="A157" s="155"/>
      <c r="B157" s="158" t="s">
        <v>199</v>
      </c>
      <c r="C157" s="56"/>
      <c r="D157" s="56"/>
      <c r="E157" s="56"/>
      <c r="F157" s="146">
        <f>((C157+D157+E157)/3)*(1+Parâmetros!C11)</f>
        <v>0</v>
      </c>
      <c r="G157" s="146">
        <f>((D157+E157+F157)/3)*(1+Parâmetros!D11)</f>
        <v>0</v>
      </c>
      <c r="H157" s="146">
        <f>((E157+F157+G157)/3)*(1+Parâmetros!E11)</f>
        <v>0</v>
      </c>
      <c r="I157" s="146">
        <f>((F157+G157+H157)/3)*(1+Parâmetros!F11)</f>
        <v>0</v>
      </c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41"/>
      <c r="AL157" s="41"/>
      <c r="AM157" s="41"/>
      <c r="AN157" s="41"/>
      <c r="AO157" s="41"/>
      <c r="AP157" s="41"/>
      <c r="AQ157" s="41"/>
      <c r="AR157" s="41"/>
      <c r="AS157" s="41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  <c r="BF157" s="41"/>
      <c r="BG157" s="41"/>
      <c r="BH157" s="41"/>
      <c r="BI157" s="41"/>
      <c r="BJ157" s="41"/>
      <c r="BK157" s="41"/>
      <c r="BL157" s="41"/>
      <c r="BM157" s="41"/>
      <c r="BN157" s="41"/>
      <c r="BO157" s="41"/>
      <c r="BP157" s="41"/>
      <c r="BQ157" s="41"/>
      <c r="BR157" s="41"/>
      <c r="BS157" s="41"/>
      <c r="BT157" s="41"/>
      <c r="BU157" s="41"/>
      <c r="BV157" s="41"/>
      <c r="BW157" s="41"/>
      <c r="BX157" s="41"/>
      <c r="BY157" s="41"/>
      <c r="BZ157" s="41"/>
      <c r="CA157" s="41"/>
      <c r="CB157" s="41"/>
      <c r="CC157" s="41"/>
      <c r="CD157" s="41"/>
      <c r="CE157" s="41"/>
      <c r="CF157" s="41"/>
      <c r="CG157" s="41"/>
      <c r="CH157" s="41"/>
      <c r="CI157" s="41"/>
      <c r="CJ157" s="41"/>
      <c r="CK157" s="41"/>
      <c r="CL157" s="41"/>
      <c r="CM157" s="41"/>
      <c r="CN157" s="41"/>
      <c r="CO157" s="41"/>
      <c r="CP157" s="41"/>
      <c r="CQ157" s="41"/>
      <c r="CR157" s="41"/>
      <c r="CS157" s="41"/>
      <c r="CT157" s="41"/>
      <c r="CU157" s="41"/>
      <c r="CV157" s="41"/>
      <c r="CW157" s="41"/>
      <c r="CX157" s="41"/>
      <c r="CY157" s="41"/>
      <c r="CZ157" s="41"/>
      <c r="DA157" s="41"/>
      <c r="DB157" s="41"/>
      <c r="DC157" s="41"/>
      <c r="DD157" s="41"/>
      <c r="DE157" s="41"/>
      <c r="DF157" s="41"/>
      <c r="DG157" s="41"/>
      <c r="DH157" s="41"/>
      <c r="DI157" s="41"/>
      <c r="DJ157" s="41"/>
      <c r="DK157" s="41"/>
      <c r="DL157" s="41"/>
      <c r="DM157" s="41"/>
      <c r="DN157" s="41"/>
      <c r="DO157" s="41"/>
      <c r="DP157" s="41"/>
      <c r="DQ157" s="41"/>
      <c r="DR157" s="41"/>
      <c r="DS157" s="41"/>
      <c r="DT157" s="41"/>
      <c r="DU157" s="41"/>
      <c r="DV157" s="41"/>
      <c r="DW157" s="41"/>
      <c r="DX157" s="41"/>
      <c r="DY157" s="41"/>
      <c r="DZ157" s="41"/>
      <c r="EA157" s="41"/>
      <c r="EB157" s="41"/>
      <c r="EC157" s="41"/>
      <c r="ED157" s="41"/>
      <c r="EE157" s="41"/>
      <c r="EF157" s="41"/>
      <c r="EG157" s="41"/>
      <c r="EH157" s="41"/>
      <c r="EI157" s="41"/>
      <c r="EJ157" s="41"/>
      <c r="EK157" s="41"/>
      <c r="EL157" s="41"/>
      <c r="EM157" s="41"/>
      <c r="EN157" s="41"/>
      <c r="EO157" s="41"/>
      <c r="EP157" s="41"/>
      <c r="EQ157" s="41"/>
      <c r="ER157" s="41"/>
      <c r="ES157" s="41"/>
      <c r="ET157" s="41"/>
      <c r="EU157" s="41"/>
      <c r="EV157" s="41"/>
      <c r="EW157" s="41"/>
      <c r="EX157" s="41"/>
      <c r="EY157" s="41"/>
      <c r="EZ157" s="41"/>
      <c r="FA157" s="41"/>
      <c r="FB157" s="41"/>
      <c r="FC157" s="41"/>
      <c r="FD157" s="41"/>
      <c r="FE157" s="41"/>
      <c r="FF157" s="41"/>
      <c r="FG157" s="41"/>
      <c r="FH157" s="41"/>
      <c r="FI157" s="41"/>
      <c r="FJ157" s="41"/>
      <c r="FK157" s="41"/>
      <c r="FL157" s="41"/>
      <c r="FM157" s="41"/>
      <c r="FN157" s="41"/>
      <c r="FO157" s="41"/>
      <c r="FP157" s="41"/>
      <c r="FQ157" s="41"/>
      <c r="FR157" s="41"/>
      <c r="FS157" s="41"/>
      <c r="FT157" s="41"/>
      <c r="FU157" s="41"/>
    </row>
    <row r="158" spans="1:177" s="6" customFormat="1" ht="15" x14ac:dyDescent="0.2">
      <c r="A158" s="157"/>
      <c r="B158" s="158" t="s">
        <v>200</v>
      </c>
      <c r="C158" s="56"/>
      <c r="D158" s="56"/>
      <c r="E158" s="56"/>
      <c r="F158" s="146">
        <f>((C158+D158+E158)/3)*(1+Parâmetros!C11)</f>
        <v>0</v>
      </c>
      <c r="G158" s="146">
        <f>((D158+E158+F158)/3)*(1+Parâmetros!D11)</f>
        <v>0</v>
      </c>
      <c r="H158" s="146">
        <f>((E158+F158+G158)/3)*(1+Parâmetros!E11)</f>
        <v>0</v>
      </c>
      <c r="I158" s="146">
        <f>((F158+G158+H158)/3)*(1+Parâmetros!F11)</f>
        <v>0</v>
      </c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41"/>
      <c r="AL158" s="41"/>
      <c r="AM158" s="41"/>
      <c r="AN158" s="41"/>
      <c r="AO158" s="41"/>
      <c r="AP158" s="41"/>
      <c r="AQ158" s="41"/>
      <c r="AR158" s="41"/>
      <c r="AS158" s="41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  <c r="BF158" s="41"/>
      <c r="BG158" s="41"/>
      <c r="BH158" s="41"/>
      <c r="BI158" s="41"/>
      <c r="BJ158" s="41"/>
      <c r="BK158" s="41"/>
      <c r="BL158" s="41"/>
      <c r="BM158" s="41"/>
      <c r="BN158" s="41"/>
      <c r="BO158" s="41"/>
      <c r="BP158" s="41"/>
      <c r="BQ158" s="41"/>
      <c r="BR158" s="41"/>
      <c r="BS158" s="41"/>
      <c r="BT158" s="41"/>
      <c r="BU158" s="41"/>
      <c r="BV158" s="41"/>
      <c r="BW158" s="41"/>
      <c r="BX158" s="41"/>
      <c r="BY158" s="41"/>
      <c r="BZ158" s="41"/>
      <c r="CA158" s="41"/>
      <c r="CB158" s="41"/>
      <c r="CC158" s="41"/>
      <c r="CD158" s="41"/>
      <c r="CE158" s="41"/>
      <c r="CF158" s="41"/>
      <c r="CG158" s="41"/>
      <c r="CH158" s="41"/>
      <c r="CI158" s="41"/>
      <c r="CJ158" s="41"/>
      <c r="CK158" s="41"/>
      <c r="CL158" s="41"/>
      <c r="CM158" s="41"/>
      <c r="CN158" s="41"/>
      <c r="CO158" s="41"/>
      <c r="CP158" s="41"/>
      <c r="CQ158" s="41"/>
      <c r="CR158" s="41"/>
      <c r="CS158" s="41"/>
      <c r="CT158" s="41"/>
      <c r="CU158" s="41"/>
      <c r="CV158" s="41"/>
      <c r="CW158" s="41"/>
      <c r="CX158" s="41"/>
      <c r="CY158" s="41"/>
      <c r="CZ158" s="41"/>
      <c r="DA158" s="41"/>
      <c r="DB158" s="41"/>
      <c r="DC158" s="41"/>
      <c r="DD158" s="41"/>
      <c r="DE158" s="41"/>
      <c r="DF158" s="41"/>
      <c r="DG158" s="41"/>
      <c r="DH158" s="41"/>
      <c r="DI158" s="41"/>
      <c r="DJ158" s="41"/>
      <c r="DK158" s="41"/>
      <c r="DL158" s="41"/>
      <c r="DM158" s="41"/>
      <c r="DN158" s="41"/>
      <c r="DO158" s="41"/>
      <c r="DP158" s="41"/>
      <c r="DQ158" s="41"/>
      <c r="DR158" s="41"/>
      <c r="DS158" s="41"/>
      <c r="DT158" s="41"/>
      <c r="DU158" s="41"/>
      <c r="DV158" s="41"/>
      <c r="DW158" s="41"/>
      <c r="DX158" s="41"/>
      <c r="DY158" s="41"/>
      <c r="DZ158" s="41"/>
      <c r="EA158" s="41"/>
      <c r="EB158" s="41"/>
      <c r="EC158" s="41"/>
      <c r="ED158" s="41"/>
      <c r="EE158" s="41"/>
      <c r="EF158" s="41"/>
      <c r="EG158" s="41"/>
      <c r="EH158" s="41"/>
      <c r="EI158" s="41"/>
      <c r="EJ158" s="41"/>
      <c r="EK158" s="41"/>
      <c r="EL158" s="41"/>
      <c r="EM158" s="41"/>
      <c r="EN158" s="41"/>
      <c r="EO158" s="41"/>
      <c r="EP158" s="41"/>
      <c r="EQ158" s="41"/>
      <c r="ER158" s="41"/>
      <c r="ES158" s="41"/>
      <c r="ET158" s="41"/>
      <c r="EU158" s="41"/>
      <c r="EV158" s="41"/>
      <c r="EW158" s="41"/>
      <c r="EX158" s="41"/>
      <c r="EY158" s="41"/>
      <c r="EZ158" s="41"/>
      <c r="FA158" s="41"/>
      <c r="FB158" s="41"/>
      <c r="FC158" s="41"/>
      <c r="FD158" s="41"/>
      <c r="FE158" s="41"/>
      <c r="FF158" s="41"/>
      <c r="FG158" s="41"/>
      <c r="FH158" s="41"/>
      <c r="FI158" s="41"/>
      <c r="FJ158" s="41"/>
      <c r="FK158" s="41"/>
      <c r="FL158" s="41"/>
      <c r="FM158" s="41"/>
      <c r="FN158" s="41"/>
      <c r="FO158" s="41"/>
      <c r="FP158" s="41"/>
      <c r="FQ158" s="41"/>
      <c r="FR158" s="41"/>
      <c r="FS158" s="41"/>
      <c r="FT158" s="41"/>
      <c r="FU158" s="41"/>
    </row>
    <row r="159" spans="1:177" s="6" customFormat="1" ht="15" x14ac:dyDescent="0.2">
      <c r="A159" s="157"/>
      <c r="B159" s="158" t="s">
        <v>201</v>
      </c>
      <c r="C159" s="56"/>
      <c r="D159" s="56"/>
      <c r="E159" s="56"/>
      <c r="F159" s="146">
        <f>((C159+D159+E159)/3)*(1+Parâmetros!C11)</f>
        <v>0</v>
      </c>
      <c r="G159" s="146">
        <f>((D159+E159+F159)/3)*(1+Parâmetros!D11)</f>
        <v>0</v>
      </c>
      <c r="H159" s="146">
        <f>((E159+F159+G159)/3)*(1+Parâmetros!E11)</f>
        <v>0</v>
      </c>
      <c r="I159" s="146">
        <f>((F159+G159+H159)/3)*(1+Parâmetros!F11)</f>
        <v>0</v>
      </c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41"/>
      <c r="AL159" s="41"/>
      <c r="AM159" s="41"/>
      <c r="AN159" s="41"/>
      <c r="AO159" s="41"/>
      <c r="AP159" s="41"/>
      <c r="AQ159" s="41"/>
      <c r="AR159" s="41"/>
      <c r="AS159" s="41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  <c r="BF159" s="41"/>
      <c r="BG159" s="41"/>
      <c r="BH159" s="41"/>
      <c r="BI159" s="41"/>
      <c r="BJ159" s="41"/>
      <c r="BK159" s="41"/>
      <c r="BL159" s="41"/>
      <c r="BM159" s="41"/>
      <c r="BN159" s="41"/>
      <c r="BO159" s="41"/>
      <c r="BP159" s="41"/>
      <c r="BQ159" s="41"/>
      <c r="BR159" s="41"/>
      <c r="BS159" s="41"/>
      <c r="BT159" s="41"/>
      <c r="BU159" s="41"/>
      <c r="BV159" s="41"/>
      <c r="BW159" s="41"/>
      <c r="BX159" s="41"/>
      <c r="BY159" s="41"/>
      <c r="BZ159" s="41"/>
      <c r="CA159" s="41"/>
      <c r="CB159" s="41"/>
      <c r="CC159" s="41"/>
      <c r="CD159" s="41"/>
      <c r="CE159" s="41"/>
      <c r="CF159" s="41"/>
      <c r="CG159" s="41"/>
      <c r="CH159" s="41"/>
      <c r="CI159" s="41"/>
      <c r="CJ159" s="41"/>
      <c r="CK159" s="41"/>
      <c r="CL159" s="41"/>
      <c r="CM159" s="41"/>
      <c r="CN159" s="41"/>
      <c r="CO159" s="41"/>
      <c r="CP159" s="41"/>
      <c r="CQ159" s="41"/>
      <c r="CR159" s="41"/>
      <c r="CS159" s="41"/>
      <c r="CT159" s="41"/>
      <c r="CU159" s="41"/>
      <c r="CV159" s="41"/>
      <c r="CW159" s="41"/>
      <c r="CX159" s="41"/>
      <c r="CY159" s="41"/>
      <c r="CZ159" s="41"/>
      <c r="DA159" s="41"/>
      <c r="DB159" s="41"/>
      <c r="DC159" s="41"/>
      <c r="DD159" s="41"/>
      <c r="DE159" s="41"/>
      <c r="DF159" s="41"/>
      <c r="DG159" s="41"/>
      <c r="DH159" s="41"/>
      <c r="DI159" s="41"/>
      <c r="DJ159" s="41"/>
      <c r="DK159" s="41"/>
      <c r="DL159" s="41"/>
      <c r="DM159" s="41"/>
      <c r="DN159" s="41"/>
      <c r="DO159" s="41"/>
      <c r="DP159" s="41"/>
      <c r="DQ159" s="41"/>
      <c r="DR159" s="41"/>
      <c r="DS159" s="41"/>
      <c r="DT159" s="41"/>
      <c r="DU159" s="41"/>
      <c r="DV159" s="41"/>
      <c r="DW159" s="41"/>
      <c r="DX159" s="41"/>
      <c r="DY159" s="41"/>
      <c r="DZ159" s="41"/>
      <c r="EA159" s="41"/>
      <c r="EB159" s="41"/>
      <c r="EC159" s="41"/>
      <c r="ED159" s="41"/>
      <c r="EE159" s="41"/>
      <c r="EF159" s="41"/>
      <c r="EG159" s="41"/>
      <c r="EH159" s="41"/>
      <c r="EI159" s="41"/>
      <c r="EJ159" s="41"/>
      <c r="EK159" s="41"/>
      <c r="EL159" s="41"/>
      <c r="EM159" s="41"/>
      <c r="EN159" s="41"/>
      <c r="EO159" s="41"/>
      <c r="EP159" s="41"/>
      <c r="EQ159" s="41"/>
      <c r="ER159" s="41"/>
      <c r="ES159" s="41"/>
      <c r="ET159" s="41"/>
      <c r="EU159" s="41"/>
      <c r="EV159" s="41"/>
      <c r="EW159" s="41"/>
      <c r="EX159" s="41"/>
      <c r="EY159" s="41"/>
      <c r="EZ159" s="41"/>
      <c r="FA159" s="41"/>
      <c r="FB159" s="41"/>
      <c r="FC159" s="41"/>
      <c r="FD159" s="41"/>
      <c r="FE159" s="41"/>
      <c r="FF159" s="41"/>
      <c r="FG159" s="41"/>
      <c r="FH159" s="41"/>
      <c r="FI159" s="41"/>
      <c r="FJ159" s="41"/>
      <c r="FK159" s="41"/>
      <c r="FL159" s="41"/>
      <c r="FM159" s="41"/>
      <c r="FN159" s="41"/>
      <c r="FO159" s="41"/>
      <c r="FP159" s="41"/>
      <c r="FQ159" s="41"/>
      <c r="FR159" s="41"/>
      <c r="FS159" s="41"/>
      <c r="FT159" s="41"/>
      <c r="FU159" s="41"/>
    </row>
    <row r="160" spans="1:177" s="6" customFormat="1" ht="15" x14ac:dyDescent="0.2">
      <c r="A160" s="157"/>
      <c r="B160" s="158" t="s">
        <v>209</v>
      </c>
      <c r="C160" s="56"/>
      <c r="D160" s="56"/>
      <c r="E160" s="56"/>
      <c r="F160" s="146">
        <f>((C160+D160+E160)/3)*(1+Parâmetros!C11)</f>
        <v>0</v>
      </c>
      <c r="G160" s="146">
        <f>((D160+E160+F160)/3)*(1+Parâmetros!D11)</f>
        <v>0</v>
      </c>
      <c r="H160" s="146">
        <f>((E160+F160+G160)/3)*(1+Parâmetros!E11)</f>
        <v>0</v>
      </c>
      <c r="I160" s="146">
        <f>((F160+G160+H160)/3)*(1+Parâmetros!F11)</f>
        <v>0</v>
      </c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41"/>
      <c r="AL160" s="41"/>
      <c r="AM160" s="41"/>
      <c r="AN160" s="41"/>
      <c r="AO160" s="41"/>
      <c r="AP160" s="41"/>
      <c r="AQ160" s="41"/>
      <c r="AR160" s="41"/>
      <c r="AS160" s="41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  <c r="BF160" s="41"/>
      <c r="BG160" s="41"/>
      <c r="BH160" s="41"/>
      <c r="BI160" s="41"/>
      <c r="BJ160" s="41"/>
      <c r="BK160" s="41"/>
      <c r="BL160" s="41"/>
      <c r="BM160" s="41"/>
      <c r="BN160" s="41"/>
      <c r="BO160" s="41"/>
      <c r="BP160" s="41"/>
      <c r="BQ160" s="41"/>
      <c r="BR160" s="41"/>
      <c r="BS160" s="41"/>
      <c r="BT160" s="41"/>
      <c r="BU160" s="41"/>
      <c r="BV160" s="41"/>
      <c r="BW160" s="41"/>
      <c r="BX160" s="41"/>
      <c r="BY160" s="41"/>
      <c r="BZ160" s="41"/>
      <c r="CA160" s="41"/>
      <c r="CB160" s="41"/>
      <c r="CC160" s="41"/>
      <c r="CD160" s="41"/>
      <c r="CE160" s="41"/>
      <c r="CF160" s="41"/>
      <c r="CG160" s="41"/>
      <c r="CH160" s="41"/>
      <c r="CI160" s="41"/>
      <c r="CJ160" s="41"/>
      <c r="CK160" s="41"/>
      <c r="CL160" s="41"/>
      <c r="CM160" s="41"/>
      <c r="CN160" s="41"/>
      <c r="CO160" s="41"/>
      <c r="CP160" s="41"/>
      <c r="CQ160" s="41"/>
      <c r="CR160" s="41"/>
      <c r="CS160" s="41"/>
      <c r="CT160" s="41"/>
      <c r="CU160" s="41"/>
      <c r="CV160" s="41"/>
      <c r="CW160" s="41"/>
      <c r="CX160" s="41"/>
      <c r="CY160" s="41"/>
      <c r="CZ160" s="41"/>
      <c r="DA160" s="41"/>
      <c r="DB160" s="41"/>
      <c r="DC160" s="41"/>
      <c r="DD160" s="41"/>
      <c r="DE160" s="41"/>
      <c r="DF160" s="41"/>
      <c r="DG160" s="41"/>
      <c r="DH160" s="41"/>
      <c r="DI160" s="41"/>
      <c r="DJ160" s="41"/>
      <c r="DK160" s="41"/>
      <c r="DL160" s="41"/>
      <c r="DM160" s="41"/>
      <c r="DN160" s="41"/>
      <c r="DO160" s="41"/>
      <c r="DP160" s="41"/>
      <c r="DQ160" s="41"/>
      <c r="DR160" s="41"/>
      <c r="DS160" s="41"/>
      <c r="DT160" s="41"/>
      <c r="DU160" s="41"/>
      <c r="DV160" s="41"/>
      <c r="DW160" s="41"/>
      <c r="DX160" s="41"/>
      <c r="DY160" s="41"/>
      <c r="DZ160" s="41"/>
      <c r="EA160" s="41"/>
      <c r="EB160" s="41"/>
      <c r="EC160" s="41"/>
      <c r="ED160" s="41"/>
      <c r="EE160" s="41"/>
      <c r="EF160" s="41"/>
      <c r="EG160" s="41"/>
      <c r="EH160" s="41"/>
      <c r="EI160" s="41"/>
      <c r="EJ160" s="41"/>
      <c r="EK160" s="41"/>
      <c r="EL160" s="41"/>
      <c r="EM160" s="41"/>
      <c r="EN160" s="41"/>
      <c r="EO160" s="41"/>
      <c r="EP160" s="41"/>
      <c r="EQ160" s="41"/>
      <c r="ER160" s="41"/>
      <c r="ES160" s="41"/>
      <c r="ET160" s="41"/>
      <c r="EU160" s="41"/>
      <c r="EV160" s="41"/>
      <c r="EW160" s="41"/>
      <c r="EX160" s="41"/>
      <c r="EY160" s="41"/>
      <c r="EZ160" s="41"/>
      <c r="FA160" s="41"/>
      <c r="FB160" s="41"/>
      <c r="FC160" s="41"/>
      <c r="FD160" s="41"/>
      <c r="FE160" s="41"/>
      <c r="FF160" s="41"/>
      <c r="FG160" s="41"/>
      <c r="FH160" s="41"/>
      <c r="FI160" s="41"/>
      <c r="FJ160" s="41"/>
      <c r="FK160" s="41"/>
      <c r="FL160" s="41"/>
      <c r="FM160" s="41"/>
      <c r="FN160" s="41"/>
      <c r="FO160" s="41"/>
      <c r="FP160" s="41"/>
      <c r="FQ160" s="41"/>
      <c r="FR160" s="41"/>
      <c r="FS160" s="41"/>
      <c r="FT160" s="41"/>
      <c r="FU160" s="41"/>
    </row>
    <row r="161" spans="1:177" s="6" customFormat="1" ht="15" x14ac:dyDescent="0.2">
      <c r="A161" s="157"/>
      <c r="B161" s="158" t="s">
        <v>202</v>
      </c>
      <c r="C161" s="56"/>
      <c r="D161" s="56"/>
      <c r="E161" s="56"/>
      <c r="F161" s="146">
        <f>((C161+D161+E161)/3)*(1+Parâmetros!C11)</f>
        <v>0</v>
      </c>
      <c r="G161" s="146">
        <f>((D161+E161+F161)/3)*(1+Parâmetros!D11)</f>
        <v>0</v>
      </c>
      <c r="H161" s="146">
        <f>((E161+F161+G161)/3)*(1+Parâmetros!E11)</f>
        <v>0</v>
      </c>
      <c r="I161" s="146">
        <f>((F161+G161+H161)/3)*(1+Parâmetros!F11)</f>
        <v>0</v>
      </c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41"/>
      <c r="AL161" s="41"/>
      <c r="AM161" s="41"/>
      <c r="AN161" s="41"/>
      <c r="AO161" s="41"/>
      <c r="AP161" s="41"/>
      <c r="AQ161" s="41"/>
      <c r="AR161" s="41"/>
      <c r="AS161" s="41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  <c r="BF161" s="41"/>
      <c r="BG161" s="41"/>
      <c r="BH161" s="41"/>
      <c r="BI161" s="41"/>
      <c r="BJ161" s="41"/>
      <c r="BK161" s="41"/>
      <c r="BL161" s="41"/>
      <c r="BM161" s="41"/>
      <c r="BN161" s="41"/>
      <c r="BO161" s="41"/>
      <c r="BP161" s="41"/>
      <c r="BQ161" s="41"/>
      <c r="BR161" s="41"/>
      <c r="BS161" s="41"/>
      <c r="BT161" s="41"/>
      <c r="BU161" s="41"/>
      <c r="BV161" s="41"/>
      <c r="BW161" s="41"/>
      <c r="BX161" s="41"/>
      <c r="BY161" s="41"/>
      <c r="BZ161" s="41"/>
      <c r="CA161" s="41"/>
      <c r="CB161" s="41"/>
      <c r="CC161" s="41"/>
      <c r="CD161" s="41"/>
      <c r="CE161" s="41"/>
      <c r="CF161" s="41"/>
      <c r="CG161" s="41"/>
      <c r="CH161" s="41"/>
      <c r="CI161" s="41"/>
      <c r="CJ161" s="41"/>
      <c r="CK161" s="41"/>
      <c r="CL161" s="41"/>
      <c r="CM161" s="41"/>
      <c r="CN161" s="41"/>
      <c r="CO161" s="41"/>
      <c r="CP161" s="41"/>
      <c r="CQ161" s="41"/>
      <c r="CR161" s="41"/>
      <c r="CS161" s="41"/>
      <c r="CT161" s="41"/>
      <c r="CU161" s="41"/>
      <c r="CV161" s="41"/>
      <c r="CW161" s="41"/>
      <c r="CX161" s="41"/>
      <c r="CY161" s="41"/>
      <c r="CZ161" s="41"/>
      <c r="DA161" s="41"/>
      <c r="DB161" s="41"/>
      <c r="DC161" s="41"/>
      <c r="DD161" s="41"/>
      <c r="DE161" s="41"/>
      <c r="DF161" s="41"/>
      <c r="DG161" s="41"/>
      <c r="DH161" s="41"/>
      <c r="DI161" s="41"/>
      <c r="DJ161" s="41"/>
      <c r="DK161" s="41"/>
      <c r="DL161" s="41"/>
      <c r="DM161" s="41"/>
      <c r="DN161" s="41"/>
      <c r="DO161" s="41"/>
      <c r="DP161" s="41"/>
      <c r="DQ161" s="41"/>
      <c r="DR161" s="41"/>
      <c r="DS161" s="41"/>
      <c r="DT161" s="41"/>
      <c r="DU161" s="41"/>
      <c r="DV161" s="41"/>
      <c r="DW161" s="41"/>
      <c r="DX161" s="41"/>
      <c r="DY161" s="41"/>
      <c r="DZ161" s="41"/>
      <c r="EA161" s="41"/>
      <c r="EB161" s="41"/>
      <c r="EC161" s="41"/>
      <c r="ED161" s="41"/>
      <c r="EE161" s="41"/>
      <c r="EF161" s="41"/>
      <c r="EG161" s="41"/>
      <c r="EH161" s="41"/>
      <c r="EI161" s="41"/>
      <c r="EJ161" s="41"/>
      <c r="EK161" s="41"/>
      <c r="EL161" s="41"/>
      <c r="EM161" s="41"/>
      <c r="EN161" s="41"/>
      <c r="EO161" s="41"/>
      <c r="EP161" s="41"/>
      <c r="EQ161" s="41"/>
      <c r="ER161" s="41"/>
      <c r="ES161" s="41"/>
      <c r="ET161" s="41"/>
      <c r="EU161" s="41"/>
      <c r="EV161" s="41"/>
      <c r="EW161" s="41"/>
      <c r="EX161" s="41"/>
      <c r="EY161" s="41"/>
      <c r="EZ161" s="41"/>
      <c r="FA161" s="41"/>
      <c r="FB161" s="41"/>
      <c r="FC161" s="41"/>
      <c r="FD161" s="41"/>
      <c r="FE161" s="41"/>
      <c r="FF161" s="41"/>
      <c r="FG161" s="41"/>
      <c r="FH161" s="41"/>
      <c r="FI161" s="41"/>
      <c r="FJ161" s="41"/>
      <c r="FK161" s="41"/>
      <c r="FL161" s="41"/>
      <c r="FM161" s="41"/>
      <c r="FN161" s="41"/>
      <c r="FO161" s="41"/>
      <c r="FP161" s="41"/>
      <c r="FQ161" s="41"/>
      <c r="FR161" s="41"/>
      <c r="FS161" s="41"/>
      <c r="FT161" s="41"/>
      <c r="FU161" s="41"/>
    </row>
    <row r="162" spans="1:177" s="6" customFormat="1" ht="15" x14ac:dyDescent="0.2">
      <c r="A162" s="157"/>
      <c r="B162" s="158" t="s">
        <v>203</v>
      </c>
      <c r="C162" s="242">
        <v>260816.97</v>
      </c>
      <c r="D162" s="56">
        <v>279926.32</v>
      </c>
      <c r="E162" s="56">
        <f>D162*1.1</f>
        <v>307918.95200000005</v>
      </c>
      <c r="F162" s="146">
        <f>((C162+D162+E162)/3)*(1+Parâmetros!C11)*1.1</f>
        <v>325396.90570178011</v>
      </c>
      <c r="G162" s="146">
        <f>((D162+E162+F162)/3)*(1+Parâmetros!D11)*1.08</f>
        <v>341983.62476834108</v>
      </c>
      <c r="H162" s="146">
        <f>((E162+F162+G162)/3)*(1+Parâmetros!E11)*1.08</f>
        <v>364660.57529764844</v>
      </c>
      <c r="I162" s="146">
        <f>((F162+G162+H162)/3)*(1+Parâmetros!F11)*1.08</f>
        <v>385764.58084272308</v>
      </c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41"/>
      <c r="AL162" s="41"/>
      <c r="AM162" s="41"/>
      <c r="AN162" s="41"/>
      <c r="AO162" s="41"/>
      <c r="AP162" s="41"/>
      <c r="AQ162" s="41"/>
      <c r="AR162" s="41"/>
      <c r="AS162" s="41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  <c r="BF162" s="41"/>
      <c r="BG162" s="41"/>
      <c r="BH162" s="41"/>
      <c r="BI162" s="41"/>
      <c r="BJ162" s="41"/>
      <c r="BK162" s="41"/>
      <c r="BL162" s="41"/>
      <c r="BM162" s="41"/>
      <c r="BN162" s="41"/>
      <c r="BO162" s="41"/>
      <c r="BP162" s="41"/>
      <c r="BQ162" s="41"/>
      <c r="BR162" s="41"/>
      <c r="BS162" s="41"/>
      <c r="BT162" s="41"/>
      <c r="BU162" s="41"/>
      <c r="BV162" s="41"/>
      <c r="BW162" s="41"/>
      <c r="BX162" s="41"/>
      <c r="BY162" s="41"/>
      <c r="BZ162" s="41"/>
      <c r="CA162" s="41"/>
      <c r="CB162" s="41"/>
      <c r="CC162" s="41"/>
      <c r="CD162" s="41"/>
      <c r="CE162" s="41"/>
      <c r="CF162" s="41"/>
      <c r="CG162" s="41"/>
      <c r="CH162" s="41"/>
      <c r="CI162" s="41"/>
      <c r="CJ162" s="41"/>
      <c r="CK162" s="41"/>
      <c r="CL162" s="41"/>
      <c r="CM162" s="41"/>
      <c r="CN162" s="41"/>
      <c r="CO162" s="41"/>
      <c r="CP162" s="41"/>
      <c r="CQ162" s="41"/>
      <c r="CR162" s="41"/>
      <c r="CS162" s="41"/>
      <c r="CT162" s="41"/>
      <c r="CU162" s="41"/>
      <c r="CV162" s="41"/>
      <c r="CW162" s="41"/>
      <c r="CX162" s="41"/>
      <c r="CY162" s="41"/>
      <c r="CZ162" s="41"/>
      <c r="DA162" s="41"/>
      <c r="DB162" s="41"/>
      <c r="DC162" s="41"/>
      <c r="DD162" s="41"/>
      <c r="DE162" s="41"/>
      <c r="DF162" s="41"/>
      <c r="DG162" s="41"/>
      <c r="DH162" s="41"/>
      <c r="DI162" s="41"/>
      <c r="DJ162" s="41"/>
      <c r="DK162" s="41"/>
      <c r="DL162" s="41"/>
      <c r="DM162" s="41"/>
      <c r="DN162" s="41"/>
      <c r="DO162" s="41"/>
      <c r="DP162" s="41"/>
      <c r="DQ162" s="41"/>
      <c r="DR162" s="41"/>
      <c r="DS162" s="41"/>
      <c r="DT162" s="41"/>
      <c r="DU162" s="41"/>
      <c r="DV162" s="41"/>
      <c r="DW162" s="41"/>
      <c r="DX162" s="41"/>
      <c r="DY162" s="41"/>
      <c r="DZ162" s="41"/>
      <c r="EA162" s="41"/>
      <c r="EB162" s="41"/>
      <c r="EC162" s="41"/>
      <c r="ED162" s="41"/>
      <c r="EE162" s="41"/>
      <c r="EF162" s="41"/>
      <c r="EG162" s="41"/>
      <c r="EH162" s="41"/>
      <c r="EI162" s="41"/>
      <c r="EJ162" s="41"/>
      <c r="EK162" s="41"/>
      <c r="EL162" s="41"/>
      <c r="EM162" s="41"/>
      <c r="EN162" s="41"/>
      <c r="EO162" s="41"/>
      <c r="EP162" s="41"/>
      <c r="EQ162" s="41"/>
      <c r="ER162" s="41"/>
      <c r="ES162" s="41"/>
      <c r="ET162" s="41"/>
      <c r="EU162" s="41"/>
      <c r="EV162" s="41"/>
      <c r="EW162" s="41"/>
      <c r="EX162" s="41"/>
      <c r="EY162" s="41"/>
      <c r="EZ162" s="41"/>
      <c r="FA162" s="41"/>
      <c r="FB162" s="41"/>
      <c r="FC162" s="41"/>
      <c r="FD162" s="41"/>
      <c r="FE162" s="41"/>
      <c r="FF162" s="41"/>
      <c r="FG162" s="41"/>
      <c r="FH162" s="41"/>
      <c r="FI162" s="41"/>
      <c r="FJ162" s="41"/>
      <c r="FK162" s="41"/>
      <c r="FL162" s="41"/>
      <c r="FM162" s="41"/>
      <c r="FN162" s="41"/>
      <c r="FO162" s="41"/>
      <c r="FP162" s="41"/>
      <c r="FQ162" s="41"/>
      <c r="FR162" s="41"/>
      <c r="FS162" s="41"/>
      <c r="FT162" s="41"/>
      <c r="FU162" s="41"/>
    </row>
    <row r="163" spans="1:177" s="6" customFormat="1" x14ac:dyDescent="0.25">
      <c r="A163" s="155" t="s">
        <v>204</v>
      </c>
      <c r="B163" s="156" t="s">
        <v>205</v>
      </c>
      <c r="C163" s="243">
        <f t="shared" ref="C163:I163" si="29">SUM(C164:C169)</f>
        <v>7507.49</v>
      </c>
      <c r="D163" s="243">
        <f t="shared" si="29"/>
        <v>8323.5</v>
      </c>
      <c r="E163" s="243">
        <f t="shared" si="29"/>
        <v>0</v>
      </c>
      <c r="F163" s="161">
        <f t="shared" si="29"/>
        <v>0</v>
      </c>
      <c r="G163" s="161">
        <f t="shared" si="29"/>
        <v>0</v>
      </c>
      <c r="H163" s="161">
        <f t="shared" si="29"/>
        <v>0</v>
      </c>
      <c r="I163" s="161">
        <f t="shared" si="29"/>
        <v>0</v>
      </c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41"/>
      <c r="AL163" s="41"/>
      <c r="AM163" s="41"/>
      <c r="AN163" s="41"/>
      <c r="AO163" s="41"/>
      <c r="AP163" s="41"/>
      <c r="AQ163" s="41"/>
      <c r="AR163" s="41"/>
      <c r="AS163" s="41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  <c r="BF163" s="41"/>
      <c r="BG163" s="41"/>
      <c r="BH163" s="41"/>
      <c r="BI163" s="41"/>
      <c r="BJ163" s="41"/>
      <c r="BK163" s="41"/>
      <c r="BL163" s="41"/>
      <c r="BM163" s="41"/>
      <c r="BN163" s="41"/>
      <c r="BO163" s="41"/>
      <c r="BP163" s="41"/>
      <c r="BQ163" s="41"/>
      <c r="BR163" s="41"/>
      <c r="BS163" s="41"/>
      <c r="BT163" s="41"/>
      <c r="BU163" s="41"/>
      <c r="BV163" s="41"/>
      <c r="BW163" s="41"/>
      <c r="BX163" s="41"/>
      <c r="BY163" s="41"/>
      <c r="BZ163" s="41"/>
      <c r="CA163" s="41"/>
      <c r="CB163" s="41"/>
      <c r="CC163" s="41"/>
      <c r="CD163" s="41"/>
      <c r="CE163" s="41"/>
      <c r="CF163" s="41"/>
      <c r="CG163" s="41"/>
      <c r="CH163" s="41"/>
      <c r="CI163" s="41"/>
      <c r="CJ163" s="41"/>
      <c r="CK163" s="41"/>
      <c r="CL163" s="41"/>
      <c r="CM163" s="41"/>
      <c r="CN163" s="41"/>
      <c r="CO163" s="41"/>
      <c r="CP163" s="41"/>
      <c r="CQ163" s="41"/>
      <c r="CR163" s="41"/>
      <c r="CS163" s="41"/>
      <c r="CT163" s="41"/>
      <c r="CU163" s="41"/>
      <c r="CV163" s="41"/>
      <c r="CW163" s="41"/>
      <c r="CX163" s="41"/>
      <c r="CY163" s="41"/>
      <c r="CZ163" s="41"/>
      <c r="DA163" s="41"/>
      <c r="DB163" s="41"/>
      <c r="DC163" s="41"/>
      <c r="DD163" s="41"/>
      <c r="DE163" s="41"/>
      <c r="DF163" s="41"/>
      <c r="DG163" s="41"/>
      <c r="DH163" s="41"/>
      <c r="DI163" s="41"/>
      <c r="DJ163" s="41"/>
      <c r="DK163" s="41"/>
      <c r="DL163" s="41"/>
      <c r="DM163" s="41"/>
      <c r="DN163" s="41"/>
      <c r="DO163" s="41"/>
      <c r="DP163" s="41"/>
      <c r="DQ163" s="41"/>
      <c r="DR163" s="41"/>
      <c r="DS163" s="41"/>
      <c r="DT163" s="41"/>
      <c r="DU163" s="41"/>
      <c r="DV163" s="41"/>
      <c r="DW163" s="41"/>
      <c r="DX163" s="41"/>
      <c r="DY163" s="41"/>
      <c r="DZ163" s="41"/>
      <c r="EA163" s="41"/>
      <c r="EB163" s="41"/>
      <c r="EC163" s="41"/>
      <c r="ED163" s="41"/>
      <c r="EE163" s="41"/>
      <c r="EF163" s="41"/>
      <c r="EG163" s="41"/>
      <c r="EH163" s="41"/>
      <c r="EI163" s="41"/>
      <c r="EJ163" s="41"/>
      <c r="EK163" s="41"/>
      <c r="EL163" s="41"/>
      <c r="EM163" s="41"/>
      <c r="EN163" s="41"/>
      <c r="EO163" s="41"/>
      <c r="EP163" s="41"/>
      <c r="EQ163" s="41"/>
      <c r="ER163" s="41"/>
      <c r="ES163" s="41"/>
      <c r="ET163" s="41"/>
      <c r="EU163" s="41"/>
      <c r="EV163" s="41"/>
      <c r="EW163" s="41"/>
      <c r="EX163" s="41"/>
      <c r="EY163" s="41"/>
      <c r="EZ163" s="41"/>
      <c r="FA163" s="41"/>
      <c r="FB163" s="41"/>
      <c r="FC163" s="41"/>
      <c r="FD163" s="41"/>
      <c r="FE163" s="41"/>
      <c r="FF163" s="41"/>
      <c r="FG163" s="41"/>
      <c r="FH163" s="41"/>
      <c r="FI163" s="41"/>
      <c r="FJ163" s="41"/>
      <c r="FK163" s="41"/>
      <c r="FL163" s="41"/>
      <c r="FM163" s="41"/>
      <c r="FN163" s="41"/>
      <c r="FO163" s="41"/>
      <c r="FP163" s="41"/>
      <c r="FQ163" s="41"/>
      <c r="FR163" s="41"/>
      <c r="FS163" s="41"/>
      <c r="FT163" s="41"/>
      <c r="FU163" s="41"/>
    </row>
    <row r="164" spans="1:177" s="6" customFormat="1" ht="15" x14ac:dyDescent="0.2">
      <c r="A164" s="157"/>
      <c r="B164" s="158" t="s">
        <v>206</v>
      </c>
      <c r="C164" s="56"/>
      <c r="D164" s="56"/>
      <c r="E164" s="56"/>
      <c r="F164" s="146">
        <f>((C164+D164+E164)/3)*(1+Parâmetros!C11)</f>
        <v>0</v>
      </c>
      <c r="G164" s="146">
        <f>((D164+E164+F164)/3)*(1+Parâmetros!D11)</f>
        <v>0</v>
      </c>
      <c r="H164" s="146">
        <f>((E164+F164+G164)/3)*(1+Parâmetros!E11)</f>
        <v>0</v>
      </c>
      <c r="I164" s="146">
        <f>((F164+G164+H164)/3)*(1+Parâmetros!F11)</f>
        <v>0</v>
      </c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41"/>
      <c r="AL164" s="41"/>
      <c r="AM164" s="41"/>
      <c r="AN164" s="41"/>
      <c r="AO164" s="41"/>
      <c r="AP164" s="41"/>
      <c r="AQ164" s="41"/>
      <c r="AR164" s="41"/>
      <c r="AS164" s="41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  <c r="BF164" s="41"/>
      <c r="BG164" s="41"/>
      <c r="BH164" s="41"/>
      <c r="BI164" s="41"/>
      <c r="BJ164" s="41"/>
      <c r="BK164" s="41"/>
      <c r="BL164" s="41"/>
      <c r="BM164" s="41"/>
      <c r="BN164" s="41"/>
      <c r="BO164" s="41"/>
      <c r="BP164" s="41"/>
      <c r="BQ164" s="41"/>
      <c r="BR164" s="41"/>
      <c r="BS164" s="41"/>
      <c r="BT164" s="41"/>
      <c r="BU164" s="41"/>
      <c r="BV164" s="41"/>
      <c r="BW164" s="41"/>
      <c r="BX164" s="41"/>
      <c r="BY164" s="41"/>
      <c r="BZ164" s="41"/>
      <c r="CA164" s="41"/>
      <c r="CB164" s="41"/>
      <c r="CC164" s="41"/>
      <c r="CD164" s="41"/>
      <c r="CE164" s="41"/>
      <c r="CF164" s="41"/>
      <c r="CG164" s="41"/>
      <c r="CH164" s="41"/>
      <c r="CI164" s="41"/>
      <c r="CJ164" s="41"/>
      <c r="CK164" s="41"/>
      <c r="CL164" s="41"/>
      <c r="CM164" s="41"/>
      <c r="CN164" s="41"/>
      <c r="CO164" s="41"/>
      <c r="CP164" s="41"/>
      <c r="CQ164" s="41"/>
      <c r="CR164" s="41"/>
      <c r="CS164" s="41"/>
      <c r="CT164" s="41"/>
      <c r="CU164" s="41"/>
      <c r="CV164" s="41"/>
      <c r="CW164" s="41"/>
      <c r="CX164" s="41"/>
      <c r="CY164" s="41"/>
      <c r="CZ164" s="41"/>
      <c r="DA164" s="41"/>
      <c r="DB164" s="41"/>
      <c r="DC164" s="41"/>
      <c r="DD164" s="41"/>
      <c r="DE164" s="41"/>
      <c r="DF164" s="41"/>
      <c r="DG164" s="41"/>
      <c r="DH164" s="41"/>
      <c r="DI164" s="41"/>
      <c r="DJ164" s="41"/>
      <c r="DK164" s="41"/>
      <c r="DL164" s="41"/>
      <c r="DM164" s="41"/>
      <c r="DN164" s="41"/>
      <c r="DO164" s="41"/>
      <c r="DP164" s="41"/>
      <c r="DQ164" s="41"/>
      <c r="DR164" s="41"/>
      <c r="DS164" s="41"/>
      <c r="DT164" s="41"/>
      <c r="DU164" s="41"/>
      <c r="DV164" s="41"/>
      <c r="DW164" s="41"/>
      <c r="DX164" s="41"/>
      <c r="DY164" s="41"/>
      <c r="DZ164" s="41"/>
      <c r="EA164" s="41"/>
      <c r="EB164" s="41"/>
      <c r="EC164" s="41"/>
      <c r="ED164" s="41"/>
      <c r="EE164" s="41"/>
      <c r="EF164" s="41"/>
      <c r="EG164" s="41"/>
      <c r="EH164" s="41"/>
      <c r="EI164" s="41"/>
      <c r="EJ164" s="41"/>
      <c r="EK164" s="41"/>
      <c r="EL164" s="41"/>
      <c r="EM164" s="41"/>
      <c r="EN164" s="41"/>
      <c r="EO164" s="41"/>
      <c r="EP164" s="41"/>
      <c r="EQ164" s="41"/>
      <c r="ER164" s="41"/>
      <c r="ES164" s="41"/>
      <c r="ET164" s="41"/>
      <c r="EU164" s="41"/>
      <c r="EV164" s="41"/>
      <c r="EW164" s="41"/>
      <c r="EX164" s="41"/>
      <c r="EY164" s="41"/>
      <c r="EZ164" s="41"/>
      <c r="FA164" s="41"/>
      <c r="FB164" s="41"/>
      <c r="FC164" s="41"/>
      <c r="FD164" s="41"/>
      <c r="FE164" s="41"/>
      <c r="FF164" s="41"/>
      <c r="FG164" s="41"/>
      <c r="FH164" s="41"/>
      <c r="FI164" s="41"/>
      <c r="FJ164" s="41"/>
      <c r="FK164" s="41"/>
      <c r="FL164" s="41"/>
      <c r="FM164" s="41"/>
      <c r="FN164" s="41"/>
      <c r="FO164" s="41"/>
      <c r="FP164" s="41"/>
      <c r="FQ164" s="41"/>
      <c r="FR164" s="41"/>
      <c r="FS164" s="41"/>
      <c r="FT164" s="41"/>
      <c r="FU164" s="41"/>
    </row>
    <row r="165" spans="1:177" s="6" customFormat="1" ht="15" x14ac:dyDescent="0.2">
      <c r="A165" s="157"/>
      <c r="B165" s="158" t="s">
        <v>207</v>
      </c>
      <c r="C165" s="56"/>
      <c r="D165" s="56"/>
      <c r="E165" s="56"/>
      <c r="F165" s="146">
        <f>((C165+D165+E165)/3)*(1+Parâmetros!C11)</f>
        <v>0</v>
      </c>
      <c r="G165" s="146">
        <f>((D165+E165+F165)/3)*(1+Parâmetros!D11)</f>
        <v>0</v>
      </c>
      <c r="H165" s="146">
        <f>((E165+F165+G165)/3)*(1+Parâmetros!E11)</f>
        <v>0</v>
      </c>
      <c r="I165" s="146">
        <f>((F165+G165+H165)/3)*(1+Parâmetros!F11)</f>
        <v>0</v>
      </c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41"/>
      <c r="AL165" s="41"/>
      <c r="AM165" s="41"/>
      <c r="AN165" s="41"/>
      <c r="AO165" s="41"/>
      <c r="AP165" s="41"/>
      <c r="AQ165" s="41"/>
      <c r="AR165" s="41"/>
      <c r="AS165" s="41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  <c r="BF165" s="41"/>
      <c r="BG165" s="41"/>
      <c r="BH165" s="41"/>
      <c r="BI165" s="41"/>
      <c r="BJ165" s="41"/>
      <c r="BK165" s="41"/>
      <c r="BL165" s="41"/>
      <c r="BM165" s="41"/>
      <c r="BN165" s="41"/>
      <c r="BO165" s="41"/>
      <c r="BP165" s="41"/>
      <c r="BQ165" s="41"/>
      <c r="BR165" s="41"/>
      <c r="BS165" s="41"/>
      <c r="BT165" s="41"/>
      <c r="BU165" s="41"/>
      <c r="BV165" s="41"/>
      <c r="BW165" s="41"/>
      <c r="BX165" s="41"/>
      <c r="BY165" s="41"/>
      <c r="BZ165" s="41"/>
      <c r="CA165" s="41"/>
      <c r="CB165" s="41"/>
      <c r="CC165" s="41"/>
      <c r="CD165" s="41"/>
      <c r="CE165" s="41"/>
      <c r="CF165" s="41"/>
      <c r="CG165" s="41"/>
      <c r="CH165" s="41"/>
      <c r="CI165" s="41"/>
      <c r="CJ165" s="41"/>
      <c r="CK165" s="41"/>
      <c r="CL165" s="41"/>
      <c r="CM165" s="41"/>
      <c r="CN165" s="41"/>
      <c r="CO165" s="41"/>
      <c r="CP165" s="41"/>
      <c r="CQ165" s="41"/>
      <c r="CR165" s="41"/>
      <c r="CS165" s="41"/>
      <c r="CT165" s="41"/>
      <c r="CU165" s="41"/>
      <c r="CV165" s="41"/>
      <c r="CW165" s="41"/>
      <c r="CX165" s="41"/>
      <c r="CY165" s="41"/>
      <c r="CZ165" s="41"/>
      <c r="DA165" s="41"/>
      <c r="DB165" s="41"/>
      <c r="DC165" s="41"/>
      <c r="DD165" s="41"/>
      <c r="DE165" s="41"/>
      <c r="DF165" s="41"/>
      <c r="DG165" s="41"/>
      <c r="DH165" s="41"/>
      <c r="DI165" s="41"/>
      <c r="DJ165" s="41"/>
      <c r="DK165" s="41"/>
      <c r="DL165" s="41"/>
      <c r="DM165" s="41"/>
      <c r="DN165" s="41"/>
      <c r="DO165" s="41"/>
      <c r="DP165" s="41"/>
      <c r="DQ165" s="41"/>
      <c r="DR165" s="41"/>
      <c r="DS165" s="41"/>
      <c r="DT165" s="41"/>
      <c r="DU165" s="41"/>
      <c r="DV165" s="41"/>
      <c r="DW165" s="41"/>
      <c r="DX165" s="41"/>
      <c r="DY165" s="41"/>
      <c r="DZ165" s="41"/>
      <c r="EA165" s="41"/>
      <c r="EB165" s="41"/>
      <c r="EC165" s="41"/>
      <c r="ED165" s="41"/>
      <c r="EE165" s="41"/>
      <c r="EF165" s="41"/>
      <c r="EG165" s="41"/>
      <c r="EH165" s="41"/>
      <c r="EI165" s="41"/>
      <c r="EJ165" s="41"/>
      <c r="EK165" s="41"/>
      <c r="EL165" s="41"/>
      <c r="EM165" s="41"/>
      <c r="EN165" s="41"/>
      <c r="EO165" s="41"/>
      <c r="EP165" s="41"/>
      <c r="EQ165" s="41"/>
      <c r="ER165" s="41"/>
      <c r="ES165" s="41"/>
      <c r="ET165" s="41"/>
      <c r="EU165" s="41"/>
      <c r="EV165" s="41"/>
      <c r="EW165" s="41"/>
      <c r="EX165" s="41"/>
      <c r="EY165" s="41"/>
      <c r="EZ165" s="41"/>
      <c r="FA165" s="41"/>
      <c r="FB165" s="41"/>
      <c r="FC165" s="41"/>
      <c r="FD165" s="41"/>
      <c r="FE165" s="41"/>
      <c r="FF165" s="41"/>
      <c r="FG165" s="41"/>
      <c r="FH165" s="41"/>
      <c r="FI165" s="41"/>
      <c r="FJ165" s="41"/>
      <c r="FK165" s="41"/>
      <c r="FL165" s="41"/>
      <c r="FM165" s="41"/>
      <c r="FN165" s="41"/>
      <c r="FO165" s="41"/>
      <c r="FP165" s="41"/>
      <c r="FQ165" s="41"/>
      <c r="FR165" s="41"/>
      <c r="FS165" s="41"/>
      <c r="FT165" s="41"/>
      <c r="FU165" s="41"/>
    </row>
    <row r="166" spans="1:177" s="6" customFormat="1" ht="15" x14ac:dyDescent="0.2">
      <c r="A166" s="157"/>
      <c r="B166" s="158" t="s">
        <v>208</v>
      </c>
      <c r="C166" s="56"/>
      <c r="D166" s="56"/>
      <c r="E166" s="56"/>
      <c r="F166" s="146">
        <f>((C166+D166+E166)/3)*(1+Parâmetros!C11)</f>
        <v>0</v>
      </c>
      <c r="G166" s="146">
        <f>((D166+E166+F166)/3)*(1+Parâmetros!D11)</f>
        <v>0</v>
      </c>
      <c r="H166" s="146">
        <f>((E166+F166+G166)/3)*(1+Parâmetros!E11)</f>
        <v>0</v>
      </c>
      <c r="I166" s="146">
        <f>((F166+G166+H166)/3)*(1+Parâmetros!F11)</f>
        <v>0</v>
      </c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41"/>
      <c r="AL166" s="41"/>
      <c r="AM166" s="41"/>
      <c r="AN166" s="41"/>
      <c r="AO166" s="41"/>
      <c r="AP166" s="41"/>
      <c r="AQ166" s="41"/>
      <c r="AR166" s="41"/>
      <c r="AS166" s="41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  <c r="BF166" s="41"/>
      <c r="BG166" s="41"/>
      <c r="BH166" s="41"/>
      <c r="BI166" s="41"/>
      <c r="BJ166" s="41"/>
      <c r="BK166" s="41"/>
      <c r="BL166" s="41"/>
      <c r="BM166" s="41"/>
      <c r="BN166" s="41"/>
      <c r="BO166" s="41"/>
      <c r="BP166" s="41"/>
      <c r="BQ166" s="41"/>
      <c r="BR166" s="41"/>
      <c r="BS166" s="41"/>
      <c r="BT166" s="41"/>
      <c r="BU166" s="41"/>
      <c r="BV166" s="41"/>
      <c r="BW166" s="41"/>
      <c r="BX166" s="41"/>
      <c r="BY166" s="41"/>
      <c r="BZ166" s="41"/>
      <c r="CA166" s="41"/>
      <c r="CB166" s="41"/>
      <c r="CC166" s="41"/>
      <c r="CD166" s="41"/>
      <c r="CE166" s="41"/>
      <c r="CF166" s="41"/>
      <c r="CG166" s="41"/>
      <c r="CH166" s="41"/>
      <c r="CI166" s="41"/>
      <c r="CJ166" s="41"/>
      <c r="CK166" s="41"/>
      <c r="CL166" s="41"/>
      <c r="CM166" s="41"/>
      <c r="CN166" s="41"/>
      <c r="CO166" s="41"/>
      <c r="CP166" s="41"/>
      <c r="CQ166" s="41"/>
      <c r="CR166" s="41"/>
      <c r="CS166" s="41"/>
      <c r="CT166" s="41"/>
      <c r="CU166" s="41"/>
      <c r="CV166" s="41"/>
      <c r="CW166" s="41"/>
      <c r="CX166" s="41"/>
      <c r="CY166" s="41"/>
      <c r="CZ166" s="41"/>
      <c r="DA166" s="41"/>
      <c r="DB166" s="41"/>
      <c r="DC166" s="41"/>
      <c r="DD166" s="41"/>
      <c r="DE166" s="41"/>
      <c r="DF166" s="41"/>
      <c r="DG166" s="41"/>
      <c r="DH166" s="41"/>
      <c r="DI166" s="41"/>
      <c r="DJ166" s="41"/>
      <c r="DK166" s="41"/>
      <c r="DL166" s="41"/>
      <c r="DM166" s="41"/>
      <c r="DN166" s="41"/>
      <c r="DO166" s="41"/>
      <c r="DP166" s="41"/>
      <c r="DQ166" s="41"/>
      <c r="DR166" s="41"/>
      <c r="DS166" s="41"/>
      <c r="DT166" s="41"/>
      <c r="DU166" s="41"/>
      <c r="DV166" s="41"/>
      <c r="DW166" s="41"/>
      <c r="DX166" s="41"/>
      <c r="DY166" s="41"/>
      <c r="DZ166" s="41"/>
      <c r="EA166" s="41"/>
      <c r="EB166" s="41"/>
      <c r="EC166" s="41"/>
      <c r="ED166" s="41"/>
      <c r="EE166" s="41"/>
      <c r="EF166" s="41"/>
      <c r="EG166" s="41"/>
      <c r="EH166" s="41"/>
      <c r="EI166" s="41"/>
      <c r="EJ166" s="41"/>
      <c r="EK166" s="41"/>
      <c r="EL166" s="41"/>
      <c r="EM166" s="41"/>
      <c r="EN166" s="41"/>
      <c r="EO166" s="41"/>
      <c r="EP166" s="41"/>
      <c r="EQ166" s="41"/>
      <c r="ER166" s="41"/>
      <c r="ES166" s="41"/>
      <c r="ET166" s="41"/>
      <c r="EU166" s="41"/>
      <c r="EV166" s="41"/>
      <c r="EW166" s="41"/>
      <c r="EX166" s="41"/>
      <c r="EY166" s="41"/>
      <c r="EZ166" s="41"/>
      <c r="FA166" s="41"/>
      <c r="FB166" s="41"/>
      <c r="FC166" s="41"/>
      <c r="FD166" s="41"/>
      <c r="FE166" s="41"/>
      <c r="FF166" s="41"/>
      <c r="FG166" s="41"/>
      <c r="FH166" s="41"/>
      <c r="FI166" s="41"/>
      <c r="FJ166" s="41"/>
      <c r="FK166" s="41"/>
      <c r="FL166" s="41"/>
      <c r="FM166" s="41"/>
      <c r="FN166" s="41"/>
      <c r="FO166" s="41"/>
      <c r="FP166" s="41"/>
      <c r="FQ166" s="41"/>
      <c r="FR166" s="41"/>
      <c r="FS166" s="41"/>
      <c r="FT166" s="41"/>
      <c r="FU166" s="41"/>
    </row>
    <row r="167" spans="1:177" s="6" customFormat="1" ht="15" x14ac:dyDescent="0.2">
      <c r="A167" s="157"/>
      <c r="B167" s="158" t="s">
        <v>210</v>
      </c>
      <c r="C167" s="56"/>
      <c r="D167" s="56"/>
      <c r="E167" s="56"/>
      <c r="F167" s="146">
        <f>((C167+D167+E167)/3)*(1+Parâmetros!C11)</f>
        <v>0</v>
      </c>
      <c r="G167" s="146">
        <f>((D167+E167+F167)/3)*(1+Parâmetros!D11)</f>
        <v>0</v>
      </c>
      <c r="H167" s="146">
        <f>((E167+F167+G167)/3)*(1+Parâmetros!E11)</f>
        <v>0</v>
      </c>
      <c r="I167" s="146">
        <f>((F167+G167+H167)/3)*(1+Parâmetros!F11)</f>
        <v>0</v>
      </c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41"/>
      <c r="AL167" s="41"/>
      <c r="AM167" s="41"/>
      <c r="AN167" s="41"/>
      <c r="AO167" s="41"/>
      <c r="AP167" s="41"/>
      <c r="AQ167" s="41"/>
      <c r="AR167" s="41"/>
      <c r="AS167" s="41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  <c r="BF167" s="41"/>
      <c r="BG167" s="41"/>
      <c r="BH167" s="41"/>
      <c r="BI167" s="41"/>
      <c r="BJ167" s="41"/>
      <c r="BK167" s="41"/>
      <c r="BL167" s="41"/>
      <c r="BM167" s="41"/>
      <c r="BN167" s="41"/>
      <c r="BO167" s="41"/>
      <c r="BP167" s="41"/>
      <c r="BQ167" s="41"/>
      <c r="BR167" s="41"/>
      <c r="BS167" s="41"/>
      <c r="BT167" s="41"/>
      <c r="BU167" s="41"/>
      <c r="BV167" s="41"/>
      <c r="BW167" s="41"/>
      <c r="BX167" s="41"/>
      <c r="BY167" s="41"/>
      <c r="BZ167" s="41"/>
      <c r="CA167" s="41"/>
      <c r="CB167" s="41"/>
      <c r="CC167" s="41"/>
      <c r="CD167" s="41"/>
      <c r="CE167" s="41"/>
      <c r="CF167" s="41"/>
      <c r="CG167" s="41"/>
      <c r="CH167" s="41"/>
      <c r="CI167" s="41"/>
      <c r="CJ167" s="41"/>
      <c r="CK167" s="41"/>
      <c r="CL167" s="41"/>
      <c r="CM167" s="41"/>
      <c r="CN167" s="41"/>
      <c r="CO167" s="41"/>
      <c r="CP167" s="41"/>
      <c r="CQ167" s="41"/>
      <c r="CR167" s="41"/>
      <c r="CS167" s="41"/>
      <c r="CT167" s="41"/>
      <c r="CU167" s="41"/>
      <c r="CV167" s="41"/>
      <c r="CW167" s="41"/>
      <c r="CX167" s="41"/>
      <c r="CY167" s="41"/>
      <c r="CZ167" s="41"/>
      <c r="DA167" s="41"/>
      <c r="DB167" s="41"/>
      <c r="DC167" s="41"/>
      <c r="DD167" s="41"/>
      <c r="DE167" s="41"/>
      <c r="DF167" s="41"/>
      <c r="DG167" s="41"/>
      <c r="DH167" s="41"/>
      <c r="DI167" s="41"/>
      <c r="DJ167" s="41"/>
      <c r="DK167" s="41"/>
      <c r="DL167" s="41"/>
      <c r="DM167" s="41"/>
      <c r="DN167" s="41"/>
      <c r="DO167" s="41"/>
      <c r="DP167" s="41"/>
      <c r="DQ167" s="41"/>
      <c r="DR167" s="41"/>
      <c r="DS167" s="41"/>
      <c r="DT167" s="41"/>
      <c r="DU167" s="41"/>
      <c r="DV167" s="41"/>
      <c r="DW167" s="41"/>
      <c r="DX167" s="41"/>
      <c r="DY167" s="41"/>
      <c r="DZ167" s="41"/>
      <c r="EA167" s="41"/>
      <c r="EB167" s="41"/>
      <c r="EC167" s="41"/>
      <c r="ED167" s="41"/>
      <c r="EE167" s="41"/>
      <c r="EF167" s="41"/>
      <c r="EG167" s="41"/>
      <c r="EH167" s="41"/>
      <c r="EI167" s="41"/>
      <c r="EJ167" s="41"/>
      <c r="EK167" s="41"/>
      <c r="EL167" s="41"/>
      <c r="EM167" s="41"/>
      <c r="EN167" s="41"/>
      <c r="EO167" s="41"/>
      <c r="EP167" s="41"/>
      <c r="EQ167" s="41"/>
      <c r="ER167" s="41"/>
      <c r="ES167" s="41"/>
      <c r="ET167" s="41"/>
      <c r="EU167" s="41"/>
      <c r="EV167" s="41"/>
      <c r="EW167" s="41"/>
      <c r="EX167" s="41"/>
      <c r="EY167" s="41"/>
      <c r="EZ167" s="41"/>
      <c r="FA167" s="41"/>
      <c r="FB167" s="41"/>
      <c r="FC167" s="41"/>
      <c r="FD167" s="41"/>
      <c r="FE167" s="41"/>
      <c r="FF167" s="41"/>
      <c r="FG167" s="41"/>
      <c r="FH167" s="41"/>
      <c r="FI167" s="41"/>
      <c r="FJ167" s="41"/>
      <c r="FK167" s="41"/>
      <c r="FL167" s="41"/>
      <c r="FM167" s="41"/>
      <c r="FN167" s="41"/>
      <c r="FO167" s="41"/>
      <c r="FP167" s="41"/>
      <c r="FQ167" s="41"/>
      <c r="FR167" s="41"/>
      <c r="FS167" s="41"/>
      <c r="FT167" s="41"/>
      <c r="FU167" s="41"/>
    </row>
    <row r="168" spans="1:177" s="6" customFormat="1" ht="15" x14ac:dyDescent="0.2">
      <c r="A168" s="157"/>
      <c r="B168" s="158" t="s">
        <v>211</v>
      </c>
      <c r="C168" s="56"/>
      <c r="D168" s="56"/>
      <c r="E168" s="56"/>
      <c r="F168" s="146">
        <f>((C168+D168+E168)/3)*(1+Parâmetros!C11)</f>
        <v>0</v>
      </c>
      <c r="G168" s="146">
        <f>((D168+E168+F168)/3)*(1+Parâmetros!D11)</f>
        <v>0</v>
      </c>
      <c r="H168" s="146">
        <f>((E168+F168+G168)/3)*(1+Parâmetros!E11)</f>
        <v>0</v>
      </c>
      <c r="I168" s="146">
        <f>((F168+G168+H168)/3)*(1+Parâmetros!F11)</f>
        <v>0</v>
      </c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41"/>
      <c r="AL168" s="41"/>
      <c r="AM168" s="41"/>
      <c r="AN168" s="41"/>
      <c r="AO168" s="41"/>
      <c r="AP168" s="41"/>
      <c r="AQ168" s="41"/>
      <c r="AR168" s="41"/>
      <c r="AS168" s="41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  <c r="BF168" s="41"/>
      <c r="BG168" s="41"/>
      <c r="BH168" s="41"/>
      <c r="BI168" s="41"/>
      <c r="BJ168" s="41"/>
      <c r="BK168" s="41"/>
      <c r="BL168" s="41"/>
      <c r="BM168" s="41"/>
      <c r="BN168" s="41"/>
      <c r="BO168" s="41"/>
      <c r="BP168" s="41"/>
      <c r="BQ168" s="41"/>
      <c r="BR168" s="41"/>
      <c r="BS168" s="41"/>
      <c r="BT168" s="41"/>
      <c r="BU168" s="41"/>
      <c r="BV168" s="41"/>
      <c r="BW168" s="41"/>
      <c r="BX168" s="41"/>
      <c r="BY168" s="41"/>
      <c r="BZ168" s="41"/>
      <c r="CA168" s="41"/>
      <c r="CB168" s="41"/>
      <c r="CC168" s="41"/>
      <c r="CD168" s="41"/>
      <c r="CE168" s="41"/>
      <c r="CF168" s="41"/>
      <c r="CG168" s="41"/>
      <c r="CH168" s="41"/>
      <c r="CI168" s="41"/>
      <c r="CJ168" s="41"/>
      <c r="CK168" s="41"/>
      <c r="CL168" s="41"/>
      <c r="CM168" s="41"/>
      <c r="CN168" s="41"/>
      <c r="CO168" s="41"/>
      <c r="CP168" s="41"/>
      <c r="CQ168" s="41"/>
      <c r="CR168" s="41"/>
      <c r="CS168" s="41"/>
      <c r="CT168" s="41"/>
      <c r="CU168" s="41"/>
      <c r="CV168" s="41"/>
      <c r="CW168" s="41"/>
      <c r="CX168" s="41"/>
      <c r="CY168" s="41"/>
      <c r="CZ168" s="41"/>
      <c r="DA168" s="41"/>
      <c r="DB168" s="41"/>
      <c r="DC168" s="41"/>
      <c r="DD168" s="41"/>
      <c r="DE168" s="41"/>
      <c r="DF168" s="41"/>
      <c r="DG168" s="41"/>
      <c r="DH168" s="41"/>
      <c r="DI168" s="41"/>
      <c r="DJ168" s="41"/>
      <c r="DK168" s="41"/>
      <c r="DL168" s="41"/>
      <c r="DM168" s="41"/>
      <c r="DN168" s="41"/>
      <c r="DO168" s="41"/>
      <c r="DP168" s="41"/>
      <c r="DQ168" s="41"/>
      <c r="DR168" s="41"/>
      <c r="DS168" s="41"/>
      <c r="DT168" s="41"/>
      <c r="DU168" s="41"/>
      <c r="DV168" s="41"/>
      <c r="DW168" s="41"/>
      <c r="DX168" s="41"/>
      <c r="DY168" s="41"/>
      <c r="DZ168" s="41"/>
      <c r="EA168" s="41"/>
      <c r="EB168" s="41"/>
      <c r="EC168" s="41"/>
      <c r="ED168" s="41"/>
      <c r="EE168" s="41"/>
      <c r="EF168" s="41"/>
      <c r="EG168" s="41"/>
      <c r="EH168" s="41"/>
      <c r="EI168" s="41"/>
      <c r="EJ168" s="41"/>
      <c r="EK168" s="41"/>
      <c r="EL168" s="41"/>
      <c r="EM168" s="41"/>
      <c r="EN168" s="41"/>
      <c r="EO168" s="41"/>
      <c r="EP168" s="41"/>
      <c r="EQ168" s="41"/>
      <c r="ER168" s="41"/>
      <c r="ES168" s="41"/>
      <c r="ET168" s="41"/>
      <c r="EU168" s="41"/>
      <c r="EV168" s="41"/>
      <c r="EW168" s="41"/>
      <c r="EX168" s="41"/>
      <c r="EY168" s="41"/>
      <c r="EZ168" s="41"/>
      <c r="FA168" s="41"/>
      <c r="FB168" s="41"/>
      <c r="FC168" s="41"/>
      <c r="FD168" s="41"/>
      <c r="FE168" s="41"/>
      <c r="FF168" s="41"/>
      <c r="FG168" s="41"/>
      <c r="FH168" s="41"/>
      <c r="FI168" s="41"/>
      <c r="FJ168" s="41"/>
      <c r="FK168" s="41"/>
      <c r="FL168" s="41"/>
      <c r="FM168" s="41"/>
      <c r="FN168" s="41"/>
      <c r="FO168" s="41"/>
      <c r="FP168" s="41"/>
      <c r="FQ168" s="41"/>
      <c r="FR168" s="41"/>
      <c r="FS168" s="41"/>
      <c r="FT168" s="41"/>
      <c r="FU168" s="41"/>
    </row>
    <row r="169" spans="1:177" s="6" customFormat="1" ht="15" x14ac:dyDescent="0.2">
      <c r="A169" s="157"/>
      <c r="B169" s="158" t="s">
        <v>212</v>
      </c>
      <c r="C169" s="56">
        <v>7507.49</v>
      </c>
      <c r="D169" s="242">
        <v>8323.5</v>
      </c>
      <c r="E169" s="56"/>
      <c r="F169" s="146"/>
      <c r="G169" s="146"/>
      <c r="H169" s="146"/>
      <c r="I169" s="146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41"/>
      <c r="AL169" s="41"/>
      <c r="AM169" s="41"/>
      <c r="AN169" s="41"/>
      <c r="AO169" s="41"/>
      <c r="AP169" s="41"/>
      <c r="AQ169" s="41"/>
      <c r="AR169" s="41"/>
      <c r="AS169" s="41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  <c r="BF169" s="41"/>
      <c r="BG169" s="41"/>
      <c r="BH169" s="41"/>
      <c r="BI169" s="41"/>
      <c r="BJ169" s="41"/>
      <c r="BK169" s="41"/>
      <c r="BL169" s="41"/>
      <c r="BM169" s="41"/>
      <c r="BN169" s="41"/>
      <c r="BO169" s="41"/>
      <c r="BP169" s="41"/>
      <c r="BQ169" s="41"/>
      <c r="BR169" s="41"/>
      <c r="BS169" s="41"/>
      <c r="BT169" s="41"/>
      <c r="BU169" s="41"/>
      <c r="BV169" s="41"/>
      <c r="BW169" s="41"/>
      <c r="BX169" s="41"/>
      <c r="BY169" s="41"/>
      <c r="BZ169" s="41"/>
      <c r="CA169" s="41"/>
      <c r="CB169" s="41"/>
      <c r="CC169" s="41"/>
      <c r="CD169" s="41"/>
      <c r="CE169" s="41"/>
      <c r="CF169" s="41"/>
      <c r="CG169" s="41"/>
      <c r="CH169" s="41"/>
      <c r="CI169" s="41"/>
      <c r="CJ169" s="41"/>
      <c r="CK169" s="41"/>
      <c r="CL169" s="41"/>
      <c r="CM169" s="41"/>
      <c r="CN169" s="41"/>
      <c r="CO169" s="41"/>
      <c r="CP169" s="41"/>
      <c r="CQ169" s="41"/>
      <c r="CR169" s="41"/>
      <c r="CS169" s="41"/>
      <c r="CT169" s="41"/>
      <c r="CU169" s="41"/>
      <c r="CV169" s="41"/>
      <c r="CW169" s="41"/>
      <c r="CX169" s="41"/>
      <c r="CY169" s="41"/>
      <c r="CZ169" s="41"/>
      <c r="DA169" s="41"/>
      <c r="DB169" s="41"/>
      <c r="DC169" s="41"/>
      <c r="DD169" s="41"/>
      <c r="DE169" s="41"/>
      <c r="DF169" s="41"/>
      <c r="DG169" s="41"/>
      <c r="DH169" s="41"/>
      <c r="DI169" s="41"/>
      <c r="DJ169" s="41"/>
      <c r="DK169" s="41"/>
      <c r="DL169" s="41"/>
      <c r="DM169" s="41"/>
      <c r="DN169" s="41"/>
      <c r="DO169" s="41"/>
      <c r="DP169" s="41"/>
      <c r="DQ169" s="41"/>
      <c r="DR169" s="41"/>
      <c r="DS169" s="41"/>
      <c r="DT169" s="41"/>
      <c r="DU169" s="41"/>
      <c r="DV169" s="41"/>
      <c r="DW169" s="41"/>
      <c r="DX169" s="41"/>
      <c r="DY169" s="41"/>
      <c r="DZ169" s="41"/>
      <c r="EA169" s="41"/>
      <c r="EB169" s="41"/>
      <c r="EC169" s="41"/>
      <c r="ED169" s="41"/>
      <c r="EE169" s="41"/>
      <c r="EF169" s="41"/>
      <c r="EG169" s="41"/>
      <c r="EH169" s="41"/>
      <c r="EI169" s="41"/>
      <c r="EJ169" s="41"/>
      <c r="EK169" s="41"/>
      <c r="EL169" s="41"/>
      <c r="EM169" s="41"/>
      <c r="EN169" s="41"/>
      <c r="EO169" s="41"/>
      <c r="EP169" s="41"/>
      <c r="EQ169" s="41"/>
      <c r="ER169" s="41"/>
      <c r="ES169" s="41"/>
      <c r="ET169" s="41"/>
      <c r="EU169" s="41"/>
      <c r="EV169" s="41"/>
      <c r="EW169" s="41"/>
      <c r="EX169" s="41"/>
      <c r="EY169" s="41"/>
      <c r="EZ169" s="41"/>
      <c r="FA169" s="41"/>
      <c r="FB169" s="41"/>
      <c r="FC169" s="41"/>
      <c r="FD169" s="41"/>
      <c r="FE169" s="41"/>
      <c r="FF169" s="41"/>
      <c r="FG169" s="41"/>
      <c r="FH169" s="41"/>
      <c r="FI169" s="41"/>
      <c r="FJ169" s="41"/>
      <c r="FK169" s="41"/>
      <c r="FL169" s="41"/>
      <c r="FM169" s="41"/>
      <c r="FN169" s="41"/>
      <c r="FO169" s="41"/>
      <c r="FP169" s="41"/>
      <c r="FQ169" s="41"/>
      <c r="FR169" s="41"/>
      <c r="FS169" s="41"/>
      <c r="FT169" s="41"/>
      <c r="FU169" s="41"/>
    </row>
    <row r="170" spans="1:177" s="6" customFormat="1" x14ac:dyDescent="0.25">
      <c r="A170" s="155" t="s">
        <v>213</v>
      </c>
      <c r="B170" s="156" t="s">
        <v>214</v>
      </c>
      <c r="C170" s="243">
        <f t="shared" ref="C170:I170" si="30">SUM(C171:C176)</f>
        <v>15716.97</v>
      </c>
      <c r="D170" s="243">
        <f t="shared" si="30"/>
        <v>19998.759999999998</v>
      </c>
      <c r="E170" s="243">
        <f t="shared" si="30"/>
        <v>26700</v>
      </c>
      <c r="F170" s="161">
        <f t="shared" si="30"/>
        <v>21756.042953666671</v>
      </c>
      <c r="G170" s="161">
        <f t="shared" si="30"/>
        <v>23735.562010801354</v>
      </c>
      <c r="H170" s="161">
        <f t="shared" si="30"/>
        <v>24992.733638698832</v>
      </c>
      <c r="I170" s="161">
        <f t="shared" si="30"/>
        <v>24394.629590556051</v>
      </c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41"/>
      <c r="AL170" s="41"/>
      <c r="AM170" s="41"/>
      <c r="AN170" s="41"/>
      <c r="AO170" s="41"/>
      <c r="AP170" s="41"/>
      <c r="AQ170" s="41"/>
      <c r="AR170" s="41"/>
      <c r="AS170" s="41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  <c r="BF170" s="41"/>
      <c r="BG170" s="41"/>
      <c r="BH170" s="41"/>
      <c r="BI170" s="41"/>
      <c r="BJ170" s="41"/>
      <c r="BK170" s="41"/>
      <c r="BL170" s="41"/>
      <c r="BM170" s="41"/>
      <c r="BN170" s="41"/>
      <c r="BO170" s="41"/>
      <c r="BP170" s="41"/>
      <c r="BQ170" s="41"/>
      <c r="BR170" s="41"/>
      <c r="BS170" s="41"/>
      <c r="BT170" s="41"/>
      <c r="BU170" s="41"/>
      <c r="BV170" s="41"/>
      <c r="BW170" s="41"/>
      <c r="BX170" s="41"/>
      <c r="BY170" s="41"/>
      <c r="BZ170" s="41"/>
      <c r="CA170" s="41"/>
      <c r="CB170" s="41"/>
      <c r="CC170" s="41"/>
      <c r="CD170" s="41"/>
      <c r="CE170" s="41"/>
      <c r="CF170" s="41"/>
      <c r="CG170" s="41"/>
      <c r="CH170" s="41"/>
      <c r="CI170" s="41"/>
      <c r="CJ170" s="41"/>
      <c r="CK170" s="41"/>
      <c r="CL170" s="41"/>
      <c r="CM170" s="41"/>
      <c r="CN170" s="41"/>
      <c r="CO170" s="41"/>
      <c r="CP170" s="41"/>
      <c r="CQ170" s="41"/>
      <c r="CR170" s="41"/>
      <c r="CS170" s="41"/>
      <c r="CT170" s="41"/>
      <c r="CU170" s="41"/>
      <c r="CV170" s="41"/>
      <c r="CW170" s="41"/>
      <c r="CX170" s="41"/>
      <c r="CY170" s="41"/>
      <c r="CZ170" s="41"/>
      <c r="DA170" s="41"/>
      <c r="DB170" s="41"/>
      <c r="DC170" s="41"/>
      <c r="DD170" s="41"/>
      <c r="DE170" s="41"/>
      <c r="DF170" s="41"/>
      <c r="DG170" s="41"/>
      <c r="DH170" s="41"/>
      <c r="DI170" s="41"/>
      <c r="DJ170" s="41"/>
      <c r="DK170" s="41"/>
      <c r="DL170" s="41"/>
      <c r="DM170" s="41"/>
      <c r="DN170" s="41"/>
      <c r="DO170" s="41"/>
      <c r="DP170" s="41"/>
      <c r="DQ170" s="41"/>
      <c r="DR170" s="41"/>
      <c r="DS170" s="41"/>
      <c r="DT170" s="41"/>
      <c r="DU170" s="41"/>
      <c r="DV170" s="41"/>
      <c r="DW170" s="41"/>
      <c r="DX170" s="41"/>
      <c r="DY170" s="41"/>
      <c r="DZ170" s="41"/>
      <c r="EA170" s="41"/>
      <c r="EB170" s="41"/>
      <c r="EC170" s="41"/>
      <c r="ED170" s="41"/>
      <c r="EE170" s="41"/>
      <c r="EF170" s="41"/>
      <c r="EG170" s="41"/>
      <c r="EH170" s="41"/>
      <c r="EI170" s="41"/>
      <c r="EJ170" s="41"/>
      <c r="EK170" s="41"/>
      <c r="EL170" s="41"/>
      <c r="EM170" s="41"/>
      <c r="EN170" s="41"/>
      <c r="EO170" s="41"/>
      <c r="EP170" s="41"/>
      <c r="EQ170" s="41"/>
      <c r="ER170" s="41"/>
      <c r="ES170" s="41"/>
      <c r="ET170" s="41"/>
      <c r="EU170" s="41"/>
      <c r="EV170" s="41"/>
      <c r="EW170" s="41"/>
      <c r="EX170" s="41"/>
      <c r="EY170" s="41"/>
      <c r="EZ170" s="41"/>
      <c r="FA170" s="41"/>
      <c r="FB170" s="41"/>
      <c r="FC170" s="41"/>
      <c r="FD170" s="41"/>
      <c r="FE170" s="41"/>
      <c r="FF170" s="41"/>
      <c r="FG170" s="41"/>
      <c r="FH170" s="41"/>
      <c r="FI170" s="41"/>
      <c r="FJ170" s="41"/>
      <c r="FK170" s="41"/>
      <c r="FL170" s="41"/>
      <c r="FM170" s="41"/>
      <c r="FN170" s="41"/>
      <c r="FO170" s="41"/>
      <c r="FP170" s="41"/>
      <c r="FQ170" s="41"/>
      <c r="FR170" s="41"/>
      <c r="FS170" s="41"/>
      <c r="FT170" s="41"/>
      <c r="FU170" s="41"/>
    </row>
    <row r="171" spans="1:177" s="6" customFormat="1" ht="15" x14ac:dyDescent="0.2">
      <c r="A171" s="157"/>
      <c r="B171" s="158" t="s">
        <v>215</v>
      </c>
      <c r="C171" s="56"/>
      <c r="D171" s="56"/>
      <c r="E171" s="56"/>
      <c r="F171" s="146">
        <f>((C171+D171+E171)/3)*(1+Parâmetros!C11)</f>
        <v>0</v>
      </c>
      <c r="G171" s="146">
        <f>((D171+E171+F171)/3)*(1+Parâmetros!D11)</f>
        <v>0</v>
      </c>
      <c r="H171" s="146">
        <f>((E171+F171+G171)/3)*(1+Parâmetros!E11)</f>
        <v>0</v>
      </c>
      <c r="I171" s="146">
        <f>((F171+G171+H171)/3)*(1+Parâmetros!F11)</f>
        <v>0</v>
      </c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41"/>
      <c r="AL171" s="41"/>
      <c r="AM171" s="41"/>
      <c r="AN171" s="41"/>
      <c r="AO171" s="41"/>
      <c r="AP171" s="41"/>
      <c r="AQ171" s="41"/>
      <c r="AR171" s="41"/>
      <c r="AS171" s="41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  <c r="BF171" s="41"/>
      <c r="BG171" s="41"/>
      <c r="BH171" s="41"/>
      <c r="BI171" s="41"/>
      <c r="BJ171" s="41"/>
      <c r="BK171" s="41"/>
      <c r="BL171" s="41"/>
      <c r="BM171" s="41"/>
      <c r="BN171" s="41"/>
      <c r="BO171" s="41"/>
      <c r="BP171" s="41"/>
      <c r="BQ171" s="41"/>
      <c r="BR171" s="41"/>
      <c r="BS171" s="41"/>
      <c r="BT171" s="41"/>
      <c r="BU171" s="41"/>
      <c r="BV171" s="41"/>
      <c r="BW171" s="41"/>
      <c r="BX171" s="41"/>
      <c r="BY171" s="41"/>
      <c r="BZ171" s="41"/>
      <c r="CA171" s="41"/>
      <c r="CB171" s="41"/>
      <c r="CC171" s="41"/>
      <c r="CD171" s="41"/>
      <c r="CE171" s="41"/>
      <c r="CF171" s="41"/>
      <c r="CG171" s="41"/>
      <c r="CH171" s="41"/>
      <c r="CI171" s="41"/>
      <c r="CJ171" s="41"/>
      <c r="CK171" s="41"/>
      <c r="CL171" s="41"/>
      <c r="CM171" s="41"/>
      <c r="CN171" s="41"/>
      <c r="CO171" s="41"/>
      <c r="CP171" s="41"/>
      <c r="CQ171" s="41"/>
      <c r="CR171" s="41"/>
      <c r="CS171" s="41"/>
      <c r="CT171" s="41"/>
      <c r="CU171" s="41"/>
      <c r="CV171" s="41"/>
      <c r="CW171" s="41"/>
      <c r="CX171" s="41"/>
      <c r="CY171" s="41"/>
      <c r="CZ171" s="41"/>
      <c r="DA171" s="41"/>
      <c r="DB171" s="41"/>
      <c r="DC171" s="41"/>
      <c r="DD171" s="41"/>
      <c r="DE171" s="41"/>
      <c r="DF171" s="41"/>
      <c r="DG171" s="41"/>
      <c r="DH171" s="41"/>
      <c r="DI171" s="41"/>
      <c r="DJ171" s="41"/>
      <c r="DK171" s="41"/>
      <c r="DL171" s="41"/>
      <c r="DM171" s="41"/>
      <c r="DN171" s="41"/>
      <c r="DO171" s="41"/>
      <c r="DP171" s="41"/>
      <c r="DQ171" s="41"/>
      <c r="DR171" s="41"/>
      <c r="DS171" s="41"/>
      <c r="DT171" s="41"/>
      <c r="DU171" s="41"/>
      <c r="DV171" s="41"/>
      <c r="DW171" s="41"/>
      <c r="DX171" s="41"/>
      <c r="DY171" s="41"/>
      <c r="DZ171" s="41"/>
      <c r="EA171" s="41"/>
      <c r="EB171" s="41"/>
      <c r="EC171" s="41"/>
      <c r="ED171" s="41"/>
      <c r="EE171" s="41"/>
      <c r="EF171" s="41"/>
      <c r="EG171" s="41"/>
      <c r="EH171" s="41"/>
      <c r="EI171" s="41"/>
      <c r="EJ171" s="41"/>
      <c r="EK171" s="41"/>
      <c r="EL171" s="41"/>
      <c r="EM171" s="41"/>
      <c r="EN171" s="41"/>
      <c r="EO171" s="41"/>
      <c r="EP171" s="41"/>
      <c r="EQ171" s="41"/>
      <c r="ER171" s="41"/>
      <c r="ES171" s="41"/>
      <c r="ET171" s="41"/>
      <c r="EU171" s="41"/>
      <c r="EV171" s="41"/>
      <c r="EW171" s="41"/>
      <c r="EX171" s="41"/>
      <c r="EY171" s="41"/>
      <c r="EZ171" s="41"/>
      <c r="FA171" s="41"/>
      <c r="FB171" s="41"/>
      <c r="FC171" s="41"/>
      <c r="FD171" s="41"/>
      <c r="FE171" s="41"/>
      <c r="FF171" s="41"/>
      <c r="FG171" s="41"/>
      <c r="FH171" s="41"/>
      <c r="FI171" s="41"/>
      <c r="FJ171" s="41"/>
      <c r="FK171" s="41"/>
      <c r="FL171" s="41"/>
      <c r="FM171" s="41"/>
      <c r="FN171" s="41"/>
      <c r="FO171" s="41"/>
      <c r="FP171" s="41"/>
      <c r="FQ171" s="41"/>
      <c r="FR171" s="41"/>
      <c r="FS171" s="41"/>
      <c r="FT171" s="41"/>
      <c r="FU171" s="41"/>
    </row>
    <row r="172" spans="1:177" s="6" customFormat="1" ht="15" x14ac:dyDescent="0.2">
      <c r="A172" s="157"/>
      <c r="B172" s="158" t="s">
        <v>216</v>
      </c>
      <c r="C172" s="242">
        <v>10122.67</v>
      </c>
      <c r="D172" s="56">
        <v>18365.36</v>
      </c>
      <c r="E172" s="56">
        <v>22000</v>
      </c>
      <c r="F172" s="146">
        <f>((C172+D172+E172)/3)*(1+Parâmetros!C11)</f>
        <v>17598.44432366667</v>
      </c>
      <c r="G172" s="146">
        <f>((D172+E172+F172)/3)*(1+Parâmetros!D11)</f>
        <v>20097.983085826021</v>
      </c>
      <c r="H172" s="146">
        <f>((E172+F172+G172)/3)*(1+Parâmetros!E11)</f>
        <v>20666.903169166373</v>
      </c>
      <c r="I172" s="146">
        <f>((F172+G172+H172)/3)*(1+Parâmetros!F11)</f>
        <v>20199.548713273904</v>
      </c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41"/>
      <c r="AL172" s="41"/>
      <c r="AM172" s="41"/>
      <c r="AN172" s="41"/>
      <c r="AO172" s="41"/>
      <c r="AP172" s="41"/>
      <c r="AQ172" s="41"/>
      <c r="AR172" s="41"/>
      <c r="AS172" s="41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  <c r="BF172" s="41"/>
      <c r="BG172" s="41"/>
      <c r="BH172" s="41"/>
      <c r="BI172" s="41"/>
      <c r="BJ172" s="41"/>
      <c r="BK172" s="41"/>
      <c r="BL172" s="41"/>
      <c r="BM172" s="41"/>
      <c r="BN172" s="41"/>
      <c r="BO172" s="41"/>
      <c r="BP172" s="41"/>
      <c r="BQ172" s="41"/>
      <c r="BR172" s="41"/>
      <c r="BS172" s="41"/>
      <c r="BT172" s="41"/>
      <c r="BU172" s="41"/>
      <c r="BV172" s="41"/>
      <c r="BW172" s="41"/>
      <c r="BX172" s="41"/>
      <c r="BY172" s="41"/>
      <c r="BZ172" s="41"/>
      <c r="CA172" s="41"/>
      <c r="CB172" s="41"/>
      <c r="CC172" s="41"/>
      <c r="CD172" s="41"/>
      <c r="CE172" s="41"/>
      <c r="CF172" s="41"/>
      <c r="CG172" s="41"/>
      <c r="CH172" s="41"/>
      <c r="CI172" s="41"/>
      <c r="CJ172" s="41"/>
      <c r="CK172" s="41"/>
      <c r="CL172" s="41"/>
      <c r="CM172" s="41"/>
      <c r="CN172" s="41"/>
      <c r="CO172" s="41"/>
      <c r="CP172" s="41"/>
      <c r="CQ172" s="41"/>
      <c r="CR172" s="41"/>
      <c r="CS172" s="41"/>
      <c r="CT172" s="41"/>
      <c r="CU172" s="41"/>
      <c r="CV172" s="41"/>
      <c r="CW172" s="41"/>
      <c r="CX172" s="41"/>
      <c r="CY172" s="41"/>
      <c r="CZ172" s="41"/>
      <c r="DA172" s="41"/>
      <c r="DB172" s="41"/>
      <c r="DC172" s="41"/>
      <c r="DD172" s="41"/>
      <c r="DE172" s="41"/>
      <c r="DF172" s="41"/>
      <c r="DG172" s="41"/>
      <c r="DH172" s="41"/>
      <c r="DI172" s="41"/>
      <c r="DJ172" s="41"/>
      <c r="DK172" s="41"/>
      <c r="DL172" s="41"/>
      <c r="DM172" s="41"/>
      <c r="DN172" s="41"/>
      <c r="DO172" s="41"/>
      <c r="DP172" s="41"/>
      <c r="DQ172" s="41"/>
      <c r="DR172" s="41"/>
      <c r="DS172" s="41"/>
      <c r="DT172" s="41"/>
      <c r="DU172" s="41"/>
      <c r="DV172" s="41"/>
      <c r="DW172" s="41"/>
      <c r="DX172" s="41"/>
      <c r="DY172" s="41"/>
      <c r="DZ172" s="41"/>
      <c r="EA172" s="41"/>
      <c r="EB172" s="41"/>
      <c r="EC172" s="41"/>
      <c r="ED172" s="41"/>
      <c r="EE172" s="41"/>
      <c r="EF172" s="41"/>
      <c r="EG172" s="41"/>
      <c r="EH172" s="41"/>
      <c r="EI172" s="41"/>
      <c r="EJ172" s="41"/>
      <c r="EK172" s="41"/>
      <c r="EL172" s="41"/>
      <c r="EM172" s="41"/>
      <c r="EN172" s="41"/>
      <c r="EO172" s="41"/>
      <c r="EP172" s="41"/>
      <c r="EQ172" s="41"/>
      <c r="ER172" s="41"/>
      <c r="ES172" s="41"/>
      <c r="ET172" s="41"/>
      <c r="EU172" s="41"/>
      <c r="EV172" s="41"/>
      <c r="EW172" s="41"/>
      <c r="EX172" s="41"/>
      <c r="EY172" s="41"/>
      <c r="EZ172" s="41"/>
      <c r="FA172" s="41"/>
      <c r="FB172" s="41"/>
      <c r="FC172" s="41"/>
      <c r="FD172" s="41"/>
      <c r="FE172" s="41"/>
      <c r="FF172" s="41"/>
      <c r="FG172" s="41"/>
      <c r="FH172" s="41"/>
      <c r="FI172" s="41"/>
      <c r="FJ172" s="41"/>
      <c r="FK172" s="41"/>
      <c r="FL172" s="41"/>
      <c r="FM172" s="41"/>
      <c r="FN172" s="41"/>
      <c r="FO172" s="41"/>
      <c r="FP172" s="41"/>
      <c r="FQ172" s="41"/>
      <c r="FR172" s="41"/>
      <c r="FS172" s="41"/>
      <c r="FT172" s="41"/>
      <c r="FU172" s="41"/>
    </row>
    <row r="173" spans="1:177" s="6" customFormat="1" ht="15" x14ac:dyDescent="0.2">
      <c r="A173" s="157"/>
      <c r="B173" s="158" t="s">
        <v>217</v>
      </c>
      <c r="C173" s="56">
        <v>542.67999999999995</v>
      </c>
      <c r="D173" s="198">
        <v>260.43</v>
      </c>
      <c r="E173" s="56">
        <v>500</v>
      </c>
      <c r="F173" s="146">
        <f>((C173+D173+E173)/3)*(1+Parâmetros!C11)</f>
        <v>454.220709</v>
      </c>
      <c r="G173" s="146">
        <f>((D173+E173+F173)/3)*(1+Parâmetros!D11)</f>
        <v>421.15988916726667</v>
      </c>
      <c r="H173" s="146">
        <f>((E173+F173+G173)/3)*(1+Parâmetros!E11)</f>
        <v>476.15676308550775</v>
      </c>
      <c r="I173" s="146">
        <f>((F173+G173+H173)/3)*(1+Parâmetros!F11)</f>
        <v>467.76708072958525</v>
      </c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41"/>
      <c r="AL173" s="41"/>
      <c r="AM173" s="41"/>
      <c r="AN173" s="41"/>
      <c r="AO173" s="41"/>
      <c r="AP173" s="41"/>
      <c r="AQ173" s="41"/>
      <c r="AR173" s="41"/>
      <c r="AS173" s="41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  <c r="BF173" s="41"/>
      <c r="BG173" s="41"/>
      <c r="BH173" s="41"/>
      <c r="BI173" s="41"/>
      <c r="BJ173" s="41"/>
      <c r="BK173" s="41"/>
      <c r="BL173" s="41"/>
      <c r="BM173" s="41"/>
      <c r="BN173" s="41"/>
      <c r="BO173" s="41"/>
      <c r="BP173" s="41"/>
      <c r="BQ173" s="41"/>
      <c r="BR173" s="41"/>
      <c r="BS173" s="41"/>
      <c r="BT173" s="41"/>
      <c r="BU173" s="41"/>
      <c r="BV173" s="41"/>
      <c r="BW173" s="41"/>
      <c r="BX173" s="41"/>
      <c r="BY173" s="41"/>
      <c r="BZ173" s="41"/>
      <c r="CA173" s="41"/>
      <c r="CB173" s="41"/>
      <c r="CC173" s="41"/>
      <c r="CD173" s="41"/>
      <c r="CE173" s="41"/>
      <c r="CF173" s="41"/>
      <c r="CG173" s="41"/>
      <c r="CH173" s="41"/>
      <c r="CI173" s="41"/>
      <c r="CJ173" s="41"/>
      <c r="CK173" s="41"/>
      <c r="CL173" s="41"/>
      <c r="CM173" s="41"/>
      <c r="CN173" s="41"/>
      <c r="CO173" s="41"/>
      <c r="CP173" s="41"/>
      <c r="CQ173" s="41"/>
      <c r="CR173" s="41"/>
      <c r="CS173" s="41"/>
      <c r="CT173" s="41"/>
      <c r="CU173" s="41"/>
      <c r="CV173" s="41"/>
      <c r="CW173" s="41"/>
      <c r="CX173" s="41"/>
      <c r="CY173" s="41"/>
      <c r="CZ173" s="41"/>
      <c r="DA173" s="41"/>
      <c r="DB173" s="41"/>
      <c r="DC173" s="41"/>
      <c r="DD173" s="41"/>
      <c r="DE173" s="41"/>
      <c r="DF173" s="41"/>
      <c r="DG173" s="41"/>
      <c r="DH173" s="41"/>
      <c r="DI173" s="41"/>
      <c r="DJ173" s="41"/>
      <c r="DK173" s="41"/>
      <c r="DL173" s="41"/>
      <c r="DM173" s="41"/>
      <c r="DN173" s="41"/>
      <c r="DO173" s="41"/>
      <c r="DP173" s="41"/>
      <c r="DQ173" s="41"/>
      <c r="DR173" s="41"/>
      <c r="DS173" s="41"/>
      <c r="DT173" s="41"/>
      <c r="DU173" s="41"/>
      <c r="DV173" s="41"/>
      <c r="DW173" s="41"/>
      <c r="DX173" s="41"/>
      <c r="DY173" s="41"/>
      <c r="DZ173" s="41"/>
      <c r="EA173" s="41"/>
      <c r="EB173" s="41"/>
      <c r="EC173" s="41"/>
      <c r="ED173" s="41"/>
      <c r="EE173" s="41"/>
      <c r="EF173" s="41"/>
      <c r="EG173" s="41"/>
      <c r="EH173" s="41"/>
      <c r="EI173" s="41"/>
      <c r="EJ173" s="41"/>
      <c r="EK173" s="41"/>
      <c r="EL173" s="41"/>
      <c r="EM173" s="41"/>
      <c r="EN173" s="41"/>
      <c r="EO173" s="41"/>
      <c r="EP173" s="41"/>
      <c r="EQ173" s="41"/>
      <c r="ER173" s="41"/>
      <c r="ES173" s="41"/>
      <c r="ET173" s="41"/>
      <c r="EU173" s="41"/>
      <c r="EV173" s="41"/>
      <c r="EW173" s="41"/>
      <c r="EX173" s="41"/>
      <c r="EY173" s="41"/>
      <c r="EZ173" s="41"/>
      <c r="FA173" s="41"/>
      <c r="FB173" s="41"/>
      <c r="FC173" s="41"/>
      <c r="FD173" s="41"/>
      <c r="FE173" s="41"/>
      <c r="FF173" s="41"/>
      <c r="FG173" s="41"/>
      <c r="FH173" s="41"/>
      <c r="FI173" s="41"/>
      <c r="FJ173" s="41"/>
      <c r="FK173" s="41"/>
      <c r="FL173" s="41"/>
      <c r="FM173" s="41"/>
      <c r="FN173" s="41"/>
      <c r="FO173" s="41"/>
      <c r="FP173" s="41"/>
      <c r="FQ173" s="41"/>
      <c r="FR173" s="41"/>
      <c r="FS173" s="41"/>
      <c r="FT173" s="41"/>
      <c r="FU173" s="41"/>
    </row>
    <row r="174" spans="1:177" s="6" customFormat="1" ht="15" x14ac:dyDescent="0.2">
      <c r="A174" s="157"/>
      <c r="B174" s="158" t="s">
        <v>218</v>
      </c>
      <c r="C174" s="198">
        <v>87.13</v>
      </c>
      <c r="D174" s="56">
        <v>102.26</v>
      </c>
      <c r="E174" s="56">
        <v>200</v>
      </c>
      <c r="F174" s="146">
        <f>((C174+D174+E174)/3)*(1+Parâmetros!C11)</f>
        <v>135.72837433333333</v>
      </c>
      <c r="G174" s="146">
        <f>((D174+E174+F174)/3)*(1+Parâmetros!D11)</f>
        <v>151.86516899384446</v>
      </c>
      <c r="H174" s="146">
        <f>((E174+F174+G174)/3)*(1+Parâmetros!E11)</f>
        <v>168.80488469986895</v>
      </c>
      <c r="I174" s="146">
        <f>((F174+G174+H174)/3)*(1+Parâmetros!F11)</f>
        <v>157.95949594016088</v>
      </c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41"/>
      <c r="AL174" s="41"/>
      <c r="AM174" s="41"/>
      <c r="AN174" s="41"/>
      <c r="AO174" s="41"/>
      <c r="AP174" s="41"/>
      <c r="AQ174" s="41"/>
      <c r="AR174" s="41"/>
      <c r="AS174" s="41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  <c r="BF174" s="41"/>
      <c r="BG174" s="41"/>
      <c r="BH174" s="41"/>
      <c r="BI174" s="41"/>
      <c r="BJ174" s="41"/>
      <c r="BK174" s="41"/>
      <c r="BL174" s="41"/>
      <c r="BM174" s="41"/>
      <c r="BN174" s="41"/>
      <c r="BO174" s="41"/>
      <c r="BP174" s="41"/>
      <c r="BQ174" s="41"/>
      <c r="BR174" s="41"/>
      <c r="BS174" s="41"/>
      <c r="BT174" s="41"/>
      <c r="BU174" s="41"/>
      <c r="BV174" s="41"/>
      <c r="BW174" s="41"/>
      <c r="BX174" s="41"/>
      <c r="BY174" s="41"/>
      <c r="BZ174" s="41"/>
      <c r="CA174" s="41"/>
      <c r="CB174" s="41"/>
      <c r="CC174" s="41"/>
      <c r="CD174" s="41"/>
      <c r="CE174" s="41"/>
      <c r="CF174" s="41"/>
      <c r="CG174" s="41"/>
      <c r="CH174" s="41"/>
      <c r="CI174" s="41"/>
      <c r="CJ174" s="41"/>
      <c r="CK174" s="41"/>
      <c r="CL174" s="41"/>
      <c r="CM174" s="41"/>
      <c r="CN174" s="41"/>
      <c r="CO174" s="41"/>
      <c r="CP174" s="41"/>
      <c r="CQ174" s="41"/>
      <c r="CR174" s="41"/>
      <c r="CS174" s="41"/>
      <c r="CT174" s="41"/>
      <c r="CU174" s="41"/>
      <c r="CV174" s="41"/>
      <c r="CW174" s="41"/>
      <c r="CX174" s="41"/>
      <c r="CY174" s="41"/>
      <c r="CZ174" s="41"/>
      <c r="DA174" s="41"/>
      <c r="DB174" s="41"/>
      <c r="DC174" s="41"/>
      <c r="DD174" s="41"/>
      <c r="DE174" s="41"/>
      <c r="DF174" s="41"/>
      <c r="DG174" s="41"/>
      <c r="DH174" s="41"/>
      <c r="DI174" s="41"/>
      <c r="DJ174" s="41"/>
      <c r="DK174" s="41"/>
      <c r="DL174" s="41"/>
      <c r="DM174" s="41"/>
      <c r="DN174" s="41"/>
      <c r="DO174" s="41"/>
      <c r="DP174" s="41"/>
      <c r="DQ174" s="41"/>
      <c r="DR174" s="41"/>
      <c r="DS174" s="41"/>
      <c r="DT174" s="41"/>
      <c r="DU174" s="41"/>
      <c r="DV174" s="41"/>
      <c r="DW174" s="41"/>
      <c r="DX174" s="41"/>
      <c r="DY174" s="41"/>
      <c r="DZ174" s="41"/>
      <c r="EA174" s="41"/>
      <c r="EB174" s="41"/>
      <c r="EC174" s="41"/>
      <c r="ED174" s="41"/>
      <c r="EE174" s="41"/>
      <c r="EF174" s="41"/>
      <c r="EG174" s="41"/>
      <c r="EH174" s="41"/>
      <c r="EI174" s="41"/>
      <c r="EJ174" s="41"/>
      <c r="EK174" s="41"/>
      <c r="EL174" s="41"/>
      <c r="EM174" s="41"/>
      <c r="EN174" s="41"/>
      <c r="EO174" s="41"/>
      <c r="EP174" s="41"/>
      <c r="EQ174" s="41"/>
      <c r="ER174" s="41"/>
      <c r="ES174" s="41"/>
      <c r="ET174" s="41"/>
      <c r="EU174" s="41"/>
      <c r="EV174" s="41"/>
      <c r="EW174" s="41"/>
      <c r="EX174" s="41"/>
      <c r="EY174" s="41"/>
      <c r="EZ174" s="41"/>
      <c r="FA174" s="41"/>
      <c r="FB174" s="41"/>
      <c r="FC174" s="41"/>
      <c r="FD174" s="41"/>
      <c r="FE174" s="41"/>
      <c r="FF174" s="41"/>
      <c r="FG174" s="41"/>
      <c r="FH174" s="41"/>
      <c r="FI174" s="41"/>
      <c r="FJ174" s="41"/>
      <c r="FK174" s="41"/>
      <c r="FL174" s="41"/>
      <c r="FM174" s="41"/>
      <c r="FN174" s="41"/>
      <c r="FO174" s="41"/>
      <c r="FP174" s="41"/>
      <c r="FQ174" s="41"/>
      <c r="FR174" s="41"/>
      <c r="FS174" s="41"/>
      <c r="FT174" s="41"/>
      <c r="FU174" s="41"/>
    </row>
    <row r="175" spans="1:177" s="6" customFormat="1" ht="15" x14ac:dyDescent="0.2">
      <c r="A175" s="157"/>
      <c r="B175" s="158" t="s">
        <v>219</v>
      </c>
      <c r="C175" s="56"/>
      <c r="D175" s="56"/>
      <c r="E175" s="56"/>
      <c r="F175" s="146">
        <f>((C175+D175+E175)/3)*(1+Parâmetros!C11)</f>
        <v>0</v>
      </c>
      <c r="G175" s="146">
        <f>((D175+E175+F175)/3)*(1+Parâmetros!D11)</f>
        <v>0</v>
      </c>
      <c r="H175" s="146">
        <f>((E175+F175+G175)/3)*(1+Parâmetros!E11)</f>
        <v>0</v>
      </c>
      <c r="I175" s="146">
        <f>((F175+G175+H175)/3)*(1+Parâmetros!F11)</f>
        <v>0</v>
      </c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41"/>
      <c r="AL175" s="41"/>
      <c r="AM175" s="41"/>
      <c r="AN175" s="41"/>
      <c r="AO175" s="41"/>
      <c r="AP175" s="41"/>
      <c r="AQ175" s="41"/>
      <c r="AR175" s="41"/>
      <c r="AS175" s="41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  <c r="BF175" s="41"/>
      <c r="BG175" s="41"/>
      <c r="BH175" s="41"/>
      <c r="BI175" s="41"/>
      <c r="BJ175" s="41"/>
      <c r="BK175" s="41"/>
      <c r="BL175" s="41"/>
      <c r="BM175" s="41"/>
      <c r="BN175" s="41"/>
      <c r="BO175" s="41"/>
      <c r="BP175" s="41"/>
      <c r="BQ175" s="41"/>
      <c r="BR175" s="41"/>
      <c r="BS175" s="41"/>
      <c r="BT175" s="41"/>
      <c r="BU175" s="41"/>
      <c r="BV175" s="41"/>
      <c r="BW175" s="41"/>
      <c r="BX175" s="41"/>
      <c r="BY175" s="41"/>
      <c r="BZ175" s="41"/>
      <c r="CA175" s="41"/>
      <c r="CB175" s="41"/>
      <c r="CC175" s="41"/>
      <c r="CD175" s="41"/>
      <c r="CE175" s="41"/>
      <c r="CF175" s="41"/>
      <c r="CG175" s="41"/>
      <c r="CH175" s="41"/>
      <c r="CI175" s="41"/>
      <c r="CJ175" s="41"/>
      <c r="CK175" s="41"/>
      <c r="CL175" s="41"/>
      <c r="CM175" s="41"/>
      <c r="CN175" s="41"/>
      <c r="CO175" s="41"/>
      <c r="CP175" s="41"/>
      <c r="CQ175" s="41"/>
      <c r="CR175" s="41"/>
      <c r="CS175" s="41"/>
      <c r="CT175" s="41"/>
      <c r="CU175" s="41"/>
      <c r="CV175" s="41"/>
      <c r="CW175" s="41"/>
      <c r="CX175" s="41"/>
      <c r="CY175" s="41"/>
      <c r="CZ175" s="41"/>
      <c r="DA175" s="41"/>
      <c r="DB175" s="41"/>
      <c r="DC175" s="41"/>
      <c r="DD175" s="41"/>
      <c r="DE175" s="41"/>
      <c r="DF175" s="41"/>
      <c r="DG175" s="41"/>
      <c r="DH175" s="41"/>
      <c r="DI175" s="41"/>
      <c r="DJ175" s="41"/>
      <c r="DK175" s="41"/>
      <c r="DL175" s="41"/>
      <c r="DM175" s="41"/>
      <c r="DN175" s="41"/>
      <c r="DO175" s="41"/>
      <c r="DP175" s="41"/>
      <c r="DQ175" s="41"/>
      <c r="DR175" s="41"/>
      <c r="DS175" s="41"/>
      <c r="DT175" s="41"/>
      <c r="DU175" s="41"/>
      <c r="DV175" s="41"/>
      <c r="DW175" s="41"/>
      <c r="DX175" s="41"/>
      <c r="DY175" s="41"/>
      <c r="DZ175" s="41"/>
      <c r="EA175" s="41"/>
      <c r="EB175" s="41"/>
      <c r="EC175" s="41"/>
      <c r="ED175" s="41"/>
      <c r="EE175" s="41"/>
      <c r="EF175" s="41"/>
      <c r="EG175" s="41"/>
      <c r="EH175" s="41"/>
      <c r="EI175" s="41"/>
      <c r="EJ175" s="41"/>
      <c r="EK175" s="41"/>
      <c r="EL175" s="41"/>
      <c r="EM175" s="41"/>
      <c r="EN175" s="41"/>
      <c r="EO175" s="41"/>
      <c r="EP175" s="41"/>
      <c r="EQ175" s="41"/>
      <c r="ER175" s="41"/>
      <c r="ES175" s="41"/>
      <c r="ET175" s="41"/>
      <c r="EU175" s="41"/>
      <c r="EV175" s="41"/>
      <c r="EW175" s="41"/>
      <c r="EX175" s="41"/>
      <c r="EY175" s="41"/>
      <c r="EZ175" s="41"/>
      <c r="FA175" s="41"/>
      <c r="FB175" s="41"/>
      <c r="FC175" s="41"/>
      <c r="FD175" s="41"/>
      <c r="FE175" s="41"/>
      <c r="FF175" s="41"/>
      <c r="FG175" s="41"/>
      <c r="FH175" s="41"/>
      <c r="FI175" s="41"/>
      <c r="FJ175" s="41"/>
      <c r="FK175" s="41"/>
      <c r="FL175" s="41"/>
      <c r="FM175" s="41"/>
      <c r="FN175" s="41"/>
      <c r="FO175" s="41"/>
      <c r="FP175" s="41"/>
      <c r="FQ175" s="41"/>
      <c r="FR175" s="41"/>
      <c r="FS175" s="41"/>
      <c r="FT175" s="41"/>
      <c r="FU175" s="41"/>
    </row>
    <row r="176" spans="1:177" s="6" customFormat="1" ht="15" x14ac:dyDescent="0.2">
      <c r="A176" s="157"/>
      <c r="B176" s="158" t="s">
        <v>220</v>
      </c>
      <c r="C176" s="56">
        <f>15716.97-(SUM(C172:C174))</f>
        <v>4964.49</v>
      </c>
      <c r="D176" s="56">
        <f>19998.76-(SUM(D172:D174))</f>
        <v>1270.7099999999991</v>
      </c>
      <c r="E176" s="56">
        <v>4000</v>
      </c>
      <c r="F176" s="146">
        <f>((C176+D176+E176)/3)*(1+Parâmetros!C11)</f>
        <v>3567.6495466666665</v>
      </c>
      <c r="G176" s="146">
        <f>((D176+E176+F176)/3)*(1+Parâmetros!D11)</f>
        <v>3064.5538668142226</v>
      </c>
      <c r="H176" s="146">
        <f>((E176+F176+G176)/3)*(1+Parâmetros!E11)</f>
        <v>3680.868821747084</v>
      </c>
      <c r="I176" s="146">
        <f>((F176+G176+H176)/3)*(1+Parâmetros!F11)</f>
        <v>3569.3543006124019</v>
      </c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41"/>
      <c r="AL176" s="41"/>
      <c r="AM176" s="41"/>
      <c r="AN176" s="41"/>
      <c r="AO176" s="41"/>
      <c r="AP176" s="41"/>
      <c r="AQ176" s="41"/>
      <c r="AR176" s="41"/>
      <c r="AS176" s="41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  <c r="BF176" s="41"/>
      <c r="BG176" s="41"/>
      <c r="BH176" s="41"/>
      <c r="BI176" s="41"/>
      <c r="BJ176" s="41"/>
      <c r="BK176" s="41"/>
      <c r="BL176" s="41"/>
      <c r="BM176" s="41"/>
      <c r="BN176" s="41"/>
      <c r="BO176" s="41"/>
      <c r="BP176" s="41"/>
      <c r="BQ176" s="41"/>
      <c r="BR176" s="41"/>
      <c r="BS176" s="41"/>
      <c r="BT176" s="41"/>
      <c r="BU176" s="41"/>
      <c r="BV176" s="41"/>
      <c r="BW176" s="41"/>
      <c r="BX176" s="41"/>
      <c r="BY176" s="41"/>
      <c r="BZ176" s="41"/>
      <c r="CA176" s="41"/>
      <c r="CB176" s="41"/>
      <c r="CC176" s="41"/>
      <c r="CD176" s="41"/>
      <c r="CE176" s="41"/>
      <c r="CF176" s="41"/>
      <c r="CG176" s="41"/>
      <c r="CH176" s="41"/>
      <c r="CI176" s="41"/>
      <c r="CJ176" s="41"/>
      <c r="CK176" s="41"/>
      <c r="CL176" s="41"/>
      <c r="CM176" s="41"/>
      <c r="CN176" s="41"/>
      <c r="CO176" s="41"/>
      <c r="CP176" s="41"/>
      <c r="CQ176" s="41"/>
      <c r="CR176" s="41"/>
      <c r="CS176" s="41"/>
      <c r="CT176" s="41"/>
      <c r="CU176" s="41"/>
      <c r="CV176" s="41"/>
      <c r="CW176" s="41"/>
      <c r="CX176" s="41"/>
      <c r="CY176" s="41"/>
      <c r="CZ176" s="41"/>
      <c r="DA176" s="41"/>
      <c r="DB176" s="41"/>
      <c r="DC176" s="41"/>
      <c r="DD176" s="41"/>
      <c r="DE176" s="41"/>
      <c r="DF176" s="41"/>
      <c r="DG176" s="41"/>
      <c r="DH176" s="41"/>
      <c r="DI176" s="41"/>
      <c r="DJ176" s="41"/>
      <c r="DK176" s="41"/>
      <c r="DL176" s="41"/>
      <c r="DM176" s="41"/>
      <c r="DN176" s="41"/>
      <c r="DO176" s="41"/>
      <c r="DP176" s="41"/>
      <c r="DQ176" s="41"/>
      <c r="DR176" s="41"/>
      <c r="DS176" s="41"/>
      <c r="DT176" s="41"/>
      <c r="DU176" s="41"/>
      <c r="DV176" s="41"/>
      <c r="DW176" s="41"/>
      <c r="DX176" s="41"/>
      <c r="DY176" s="41"/>
      <c r="DZ176" s="41"/>
      <c r="EA176" s="41"/>
      <c r="EB176" s="41"/>
      <c r="EC176" s="41"/>
      <c r="ED176" s="41"/>
      <c r="EE176" s="41"/>
      <c r="EF176" s="41"/>
      <c r="EG176" s="41"/>
      <c r="EH176" s="41"/>
      <c r="EI176" s="41"/>
      <c r="EJ176" s="41"/>
      <c r="EK176" s="41"/>
      <c r="EL176" s="41"/>
      <c r="EM176" s="41"/>
      <c r="EN176" s="41"/>
      <c r="EO176" s="41"/>
      <c r="EP176" s="41"/>
      <c r="EQ176" s="41"/>
      <c r="ER176" s="41"/>
      <c r="ES176" s="41"/>
      <c r="ET176" s="41"/>
      <c r="EU176" s="41"/>
      <c r="EV176" s="41"/>
      <c r="EW176" s="41"/>
      <c r="EX176" s="41"/>
      <c r="EY176" s="41"/>
      <c r="EZ176" s="41"/>
      <c r="FA176" s="41"/>
      <c r="FB176" s="41"/>
      <c r="FC176" s="41"/>
      <c r="FD176" s="41"/>
      <c r="FE176" s="41"/>
      <c r="FF176" s="41"/>
      <c r="FG176" s="41"/>
      <c r="FH176" s="41"/>
      <c r="FI176" s="41"/>
      <c r="FJ176" s="41"/>
      <c r="FK176" s="41"/>
      <c r="FL176" s="41"/>
      <c r="FM176" s="41"/>
      <c r="FN176" s="41"/>
      <c r="FO176" s="41"/>
      <c r="FP176" s="41"/>
      <c r="FQ176" s="41"/>
      <c r="FR176" s="41"/>
      <c r="FS176" s="41"/>
      <c r="FT176" s="41"/>
      <c r="FU176" s="41"/>
    </row>
    <row r="177" spans="1:177" s="6" customFormat="1" x14ac:dyDescent="0.25">
      <c r="A177" s="155" t="s">
        <v>221</v>
      </c>
      <c r="B177" s="156" t="s">
        <v>214</v>
      </c>
      <c r="C177" s="243">
        <f t="shared" ref="C177:I177" si="31">SUM(C178:C183)</f>
        <v>0</v>
      </c>
      <c r="D177" s="243">
        <f t="shared" si="31"/>
        <v>0</v>
      </c>
      <c r="E177" s="243">
        <f t="shared" si="31"/>
        <v>0</v>
      </c>
      <c r="F177" s="161">
        <f t="shared" si="31"/>
        <v>0</v>
      </c>
      <c r="G177" s="161">
        <f t="shared" si="31"/>
        <v>0</v>
      </c>
      <c r="H177" s="161">
        <f t="shared" si="31"/>
        <v>0</v>
      </c>
      <c r="I177" s="161">
        <f t="shared" si="31"/>
        <v>0</v>
      </c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41"/>
      <c r="AL177" s="41"/>
      <c r="AM177" s="41"/>
      <c r="AN177" s="41"/>
      <c r="AO177" s="41"/>
      <c r="AP177" s="41"/>
      <c r="AQ177" s="41"/>
      <c r="AR177" s="41"/>
      <c r="AS177" s="41"/>
      <c r="AT177" s="41"/>
      <c r="AU177" s="41"/>
      <c r="AV177" s="41"/>
      <c r="AW177" s="41"/>
      <c r="AX177" s="41"/>
      <c r="AY177" s="41"/>
      <c r="AZ177" s="41"/>
      <c r="BA177" s="41"/>
      <c r="BB177" s="41"/>
      <c r="BC177" s="41"/>
      <c r="BD177" s="41"/>
      <c r="BE177" s="41"/>
      <c r="BF177" s="41"/>
      <c r="BG177" s="41"/>
      <c r="BH177" s="41"/>
      <c r="BI177" s="41"/>
      <c r="BJ177" s="41"/>
      <c r="BK177" s="41"/>
      <c r="BL177" s="41"/>
      <c r="BM177" s="41"/>
      <c r="BN177" s="41"/>
      <c r="BO177" s="41"/>
      <c r="BP177" s="41"/>
      <c r="BQ177" s="41"/>
      <c r="BR177" s="41"/>
      <c r="BS177" s="41"/>
      <c r="BT177" s="41"/>
      <c r="BU177" s="41"/>
      <c r="BV177" s="41"/>
      <c r="BW177" s="41"/>
      <c r="BX177" s="41"/>
      <c r="BY177" s="41"/>
      <c r="BZ177" s="41"/>
      <c r="CA177" s="41"/>
      <c r="CB177" s="41"/>
      <c r="CC177" s="41"/>
      <c r="CD177" s="41"/>
      <c r="CE177" s="41"/>
      <c r="CF177" s="41"/>
      <c r="CG177" s="41"/>
      <c r="CH177" s="41"/>
      <c r="CI177" s="41"/>
      <c r="CJ177" s="41"/>
      <c r="CK177" s="41"/>
      <c r="CL177" s="41"/>
      <c r="CM177" s="41"/>
      <c r="CN177" s="41"/>
      <c r="CO177" s="41"/>
      <c r="CP177" s="41"/>
      <c r="CQ177" s="41"/>
      <c r="CR177" s="41"/>
      <c r="CS177" s="41"/>
      <c r="CT177" s="41"/>
      <c r="CU177" s="41"/>
      <c r="CV177" s="41"/>
      <c r="CW177" s="41"/>
      <c r="CX177" s="41"/>
      <c r="CY177" s="41"/>
      <c r="CZ177" s="41"/>
      <c r="DA177" s="41"/>
      <c r="DB177" s="41"/>
      <c r="DC177" s="41"/>
      <c r="DD177" s="41"/>
      <c r="DE177" s="41"/>
      <c r="DF177" s="41"/>
      <c r="DG177" s="41"/>
      <c r="DH177" s="41"/>
      <c r="DI177" s="41"/>
      <c r="DJ177" s="41"/>
      <c r="DK177" s="41"/>
      <c r="DL177" s="41"/>
      <c r="DM177" s="41"/>
      <c r="DN177" s="41"/>
      <c r="DO177" s="41"/>
      <c r="DP177" s="41"/>
      <c r="DQ177" s="41"/>
      <c r="DR177" s="41"/>
      <c r="DS177" s="41"/>
      <c r="DT177" s="41"/>
      <c r="DU177" s="41"/>
      <c r="DV177" s="41"/>
      <c r="DW177" s="41"/>
      <c r="DX177" s="41"/>
      <c r="DY177" s="41"/>
      <c r="DZ177" s="41"/>
      <c r="EA177" s="41"/>
      <c r="EB177" s="41"/>
      <c r="EC177" s="41"/>
      <c r="ED177" s="41"/>
      <c r="EE177" s="41"/>
      <c r="EF177" s="41"/>
      <c r="EG177" s="41"/>
      <c r="EH177" s="41"/>
      <c r="EI177" s="41"/>
      <c r="EJ177" s="41"/>
      <c r="EK177" s="41"/>
      <c r="EL177" s="41"/>
      <c r="EM177" s="41"/>
      <c r="EN177" s="41"/>
      <c r="EO177" s="41"/>
      <c r="EP177" s="41"/>
      <c r="EQ177" s="41"/>
      <c r="ER177" s="41"/>
      <c r="ES177" s="41"/>
      <c r="ET177" s="41"/>
      <c r="EU177" s="41"/>
      <c r="EV177" s="41"/>
      <c r="EW177" s="41"/>
      <c r="EX177" s="41"/>
      <c r="EY177" s="41"/>
      <c r="EZ177" s="41"/>
      <c r="FA177" s="41"/>
      <c r="FB177" s="41"/>
      <c r="FC177" s="41"/>
      <c r="FD177" s="41"/>
      <c r="FE177" s="41"/>
      <c r="FF177" s="41"/>
      <c r="FG177" s="41"/>
      <c r="FH177" s="41"/>
      <c r="FI177" s="41"/>
      <c r="FJ177" s="41"/>
      <c r="FK177" s="41"/>
      <c r="FL177" s="41"/>
      <c r="FM177" s="41"/>
      <c r="FN177" s="41"/>
      <c r="FO177" s="41"/>
      <c r="FP177" s="41"/>
      <c r="FQ177" s="41"/>
      <c r="FR177" s="41"/>
      <c r="FS177" s="41"/>
      <c r="FT177" s="41"/>
      <c r="FU177" s="41"/>
    </row>
    <row r="178" spans="1:177" s="6" customFormat="1" ht="15" x14ac:dyDescent="0.2">
      <c r="A178" s="157"/>
      <c r="B178" s="158" t="s">
        <v>215</v>
      </c>
      <c r="C178" s="56"/>
      <c r="D178" s="56"/>
      <c r="E178" s="56"/>
      <c r="F178" s="146">
        <f>((C178+D178+E178)/3)*(1+Parâmetros!C11)</f>
        <v>0</v>
      </c>
      <c r="G178" s="146">
        <f>((D178+E178+F178)/3)*(1+Parâmetros!D11)</f>
        <v>0</v>
      </c>
      <c r="H178" s="146">
        <f>((E178+F178+G178)/3)*(1+Parâmetros!E11)</f>
        <v>0</v>
      </c>
      <c r="I178" s="146">
        <f>((F178+G178+H178)/3)*(1+Parâmetros!F11)</f>
        <v>0</v>
      </c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41"/>
      <c r="AL178" s="41"/>
      <c r="AM178" s="41"/>
      <c r="AN178" s="41"/>
      <c r="AO178" s="41"/>
      <c r="AP178" s="41"/>
      <c r="AQ178" s="41"/>
      <c r="AR178" s="41"/>
      <c r="AS178" s="41"/>
      <c r="AT178" s="41"/>
      <c r="AU178" s="41"/>
      <c r="AV178" s="41"/>
      <c r="AW178" s="41"/>
      <c r="AX178" s="41"/>
      <c r="AY178" s="41"/>
      <c r="AZ178" s="41"/>
      <c r="BA178" s="41"/>
      <c r="BB178" s="41"/>
      <c r="BC178" s="41"/>
      <c r="BD178" s="41"/>
      <c r="BE178" s="41"/>
      <c r="BF178" s="41"/>
      <c r="BG178" s="41"/>
      <c r="BH178" s="41"/>
      <c r="BI178" s="41"/>
      <c r="BJ178" s="41"/>
      <c r="BK178" s="41"/>
      <c r="BL178" s="41"/>
      <c r="BM178" s="41"/>
      <c r="BN178" s="41"/>
      <c r="BO178" s="41"/>
      <c r="BP178" s="41"/>
      <c r="BQ178" s="41"/>
      <c r="BR178" s="41"/>
      <c r="BS178" s="41"/>
      <c r="BT178" s="41"/>
      <c r="BU178" s="41"/>
      <c r="BV178" s="41"/>
      <c r="BW178" s="41"/>
      <c r="BX178" s="41"/>
      <c r="BY178" s="41"/>
      <c r="BZ178" s="41"/>
      <c r="CA178" s="41"/>
      <c r="CB178" s="41"/>
      <c r="CC178" s="41"/>
      <c r="CD178" s="41"/>
      <c r="CE178" s="41"/>
      <c r="CF178" s="41"/>
      <c r="CG178" s="41"/>
      <c r="CH178" s="41"/>
      <c r="CI178" s="41"/>
      <c r="CJ178" s="41"/>
      <c r="CK178" s="41"/>
      <c r="CL178" s="41"/>
      <c r="CM178" s="41"/>
      <c r="CN178" s="41"/>
      <c r="CO178" s="41"/>
      <c r="CP178" s="41"/>
      <c r="CQ178" s="41"/>
      <c r="CR178" s="41"/>
      <c r="CS178" s="41"/>
      <c r="CT178" s="41"/>
      <c r="CU178" s="41"/>
      <c r="CV178" s="41"/>
      <c r="CW178" s="41"/>
      <c r="CX178" s="41"/>
      <c r="CY178" s="41"/>
      <c r="CZ178" s="41"/>
      <c r="DA178" s="41"/>
      <c r="DB178" s="41"/>
      <c r="DC178" s="41"/>
      <c r="DD178" s="41"/>
      <c r="DE178" s="41"/>
      <c r="DF178" s="41"/>
      <c r="DG178" s="41"/>
      <c r="DH178" s="41"/>
      <c r="DI178" s="41"/>
      <c r="DJ178" s="41"/>
      <c r="DK178" s="41"/>
      <c r="DL178" s="41"/>
      <c r="DM178" s="41"/>
      <c r="DN178" s="41"/>
      <c r="DO178" s="41"/>
      <c r="DP178" s="41"/>
      <c r="DQ178" s="41"/>
      <c r="DR178" s="41"/>
      <c r="DS178" s="41"/>
      <c r="DT178" s="41"/>
      <c r="DU178" s="41"/>
      <c r="DV178" s="41"/>
      <c r="DW178" s="41"/>
      <c r="DX178" s="41"/>
      <c r="DY178" s="41"/>
      <c r="DZ178" s="41"/>
      <c r="EA178" s="41"/>
      <c r="EB178" s="41"/>
      <c r="EC178" s="41"/>
      <c r="ED178" s="41"/>
      <c r="EE178" s="41"/>
      <c r="EF178" s="41"/>
      <c r="EG178" s="41"/>
      <c r="EH178" s="41"/>
      <c r="EI178" s="41"/>
      <c r="EJ178" s="41"/>
      <c r="EK178" s="41"/>
      <c r="EL178" s="41"/>
      <c r="EM178" s="41"/>
      <c r="EN178" s="41"/>
      <c r="EO178" s="41"/>
      <c r="EP178" s="41"/>
      <c r="EQ178" s="41"/>
      <c r="ER178" s="41"/>
      <c r="ES178" s="41"/>
      <c r="ET178" s="41"/>
      <c r="EU178" s="41"/>
      <c r="EV178" s="41"/>
      <c r="EW178" s="41"/>
      <c r="EX178" s="41"/>
      <c r="EY178" s="41"/>
      <c r="EZ178" s="41"/>
      <c r="FA178" s="41"/>
      <c r="FB178" s="41"/>
      <c r="FC178" s="41"/>
      <c r="FD178" s="41"/>
      <c r="FE178" s="41"/>
      <c r="FF178" s="41"/>
      <c r="FG178" s="41"/>
      <c r="FH178" s="41"/>
      <c r="FI178" s="41"/>
      <c r="FJ178" s="41"/>
      <c r="FK178" s="41"/>
      <c r="FL178" s="41"/>
      <c r="FM178" s="41"/>
      <c r="FN178" s="41"/>
      <c r="FO178" s="41"/>
      <c r="FP178" s="41"/>
      <c r="FQ178" s="41"/>
      <c r="FR178" s="41"/>
      <c r="FS178" s="41"/>
      <c r="FT178" s="41"/>
      <c r="FU178" s="41"/>
    </row>
    <row r="179" spans="1:177" s="6" customFormat="1" ht="15" x14ac:dyDescent="0.2">
      <c r="A179" s="157"/>
      <c r="B179" s="158" t="s">
        <v>216</v>
      </c>
      <c r="C179" s="56"/>
      <c r="D179" s="56"/>
      <c r="E179" s="56"/>
      <c r="F179" s="146">
        <f>((C179+D179+E179)/3)*(1+Parâmetros!C11)</f>
        <v>0</v>
      </c>
      <c r="G179" s="146">
        <f>((D179+E179+F179)/3)*(1+Parâmetros!D11)</f>
        <v>0</v>
      </c>
      <c r="H179" s="146">
        <f>((E179+F179+G179)/3)*(1+Parâmetros!E11)</f>
        <v>0</v>
      </c>
      <c r="I179" s="146">
        <f>((F179+G179+H179)/3)*(1+Parâmetros!F11)</f>
        <v>0</v>
      </c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41"/>
      <c r="AL179" s="41"/>
      <c r="AM179" s="41"/>
      <c r="AN179" s="41"/>
      <c r="AO179" s="41"/>
      <c r="AP179" s="41"/>
      <c r="AQ179" s="41"/>
      <c r="AR179" s="41"/>
      <c r="AS179" s="41"/>
      <c r="AT179" s="41"/>
      <c r="AU179" s="41"/>
      <c r="AV179" s="41"/>
      <c r="AW179" s="41"/>
      <c r="AX179" s="41"/>
      <c r="AY179" s="41"/>
      <c r="AZ179" s="41"/>
      <c r="BA179" s="41"/>
      <c r="BB179" s="41"/>
      <c r="BC179" s="41"/>
      <c r="BD179" s="41"/>
      <c r="BE179" s="41"/>
      <c r="BF179" s="41"/>
      <c r="BG179" s="41"/>
      <c r="BH179" s="41"/>
      <c r="BI179" s="41"/>
      <c r="BJ179" s="41"/>
      <c r="BK179" s="41"/>
      <c r="BL179" s="41"/>
      <c r="BM179" s="41"/>
      <c r="BN179" s="41"/>
      <c r="BO179" s="41"/>
      <c r="BP179" s="41"/>
      <c r="BQ179" s="41"/>
      <c r="BR179" s="41"/>
      <c r="BS179" s="41"/>
      <c r="BT179" s="41"/>
      <c r="BU179" s="41"/>
      <c r="BV179" s="41"/>
      <c r="BW179" s="41"/>
      <c r="BX179" s="41"/>
      <c r="BY179" s="41"/>
      <c r="BZ179" s="41"/>
      <c r="CA179" s="41"/>
      <c r="CB179" s="41"/>
      <c r="CC179" s="41"/>
      <c r="CD179" s="41"/>
      <c r="CE179" s="41"/>
      <c r="CF179" s="41"/>
      <c r="CG179" s="41"/>
      <c r="CH179" s="41"/>
      <c r="CI179" s="41"/>
      <c r="CJ179" s="41"/>
      <c r="CK179" s="41"/>
      <c r="CL179" s="41"/>
      <c r="CM179" s="41"/>
      <c r="CN179" s="41"/>
      <c r="CO179" s="41"/>
      <c r="CP179" s="41"/>
      <c r="CQ179" s="41"/>
      <c r="CR179" s="41"/>
      <c r="CS179" s="41"/>
      <c r="CT179" s="41"/>
      <c r="CU179" s="41"/>
      <c r="CV179" s="41"/>
      <c r="CW179" s="41"/>
      <c r="CX179" s="41"/>
      <c r="CY179" s="41"/>
      <c r="CZ179" s="41"/>
      <c r="DA179" s="41"/>
      <c r="DB179" s="41"/>
      <c r="DC179" s="41"/>
      <c r="DD179" s="41"/>
      <c r="DE179" s="41"/>
      <c r="DF179" s="41"/>
      <c r="DG179" s="41"/>
      <c r="DH179" s="41"/>
      <c r="DI179" s="41"/>
      <c r="DJ179" s="41"/>
      <c r="DK179" s="41"/>
      <c r="DL179" s="41"/>
      <c r="DM179" s="41"/>
      <c r="DN179" s="41"/>
      <c r="DO179" s="41"/>
      <c r="DP179" s="41"/>
      <c r="DQ179" s="41"/>
      <c r="DR179" s="41"/>
      <c r="DS179" s="41"/>
      <c r="DT179" s="41"/>
      <c r="DU179" s="41"/>
      <c r="DV179" s="41"/>
      <c r="DW179" s="41"/>
      <c r="DX179" s="41"/>
      <c r="DY179" s="41"/>
      <c r="DZ179" s="41"/>
      <c r="EA179" s="41"/>
      <c r="EB179" s="41"/>
      <c r="EC179" s="41"/>
      <c r="ED179" s="41"/>
      <c r="EE179" s="41"/>
      <c r="EF179" s="41"/>
      <c r="EG179" s="41"/>
      <c r="EH179" s="41"/>
      <c r="EI179" s="41"/>
      <c r="EJ179" s="41"/>
      <c r="EK179" s="41"/>
      <c r="EL179" s="41"/>
      <c r="EM179" s="41"/>
      <c r="EN179" s="41"/>
      <c r="EO179" s="41"/>
      <c r="EP179" s="41"/>
      <c r="EQ179" s="41"/>
      <c r="ER179" s="41"/>
      <c r="ES179" s="41"/>
      <c r="ET179" s="41"/>
      <c r="EU179" s="41"/>
      <c r="EV179" s="41"/>
      <c r="EW179" s="41"/>
      <c r="EX179" s="41"/>
      <c r="EY179" s="41"/>
      <c r="EZ179" s="41"/>
      <c r="FA179" s="41"/>
      <c r="FB179" s="41"/>
      <c r="FC179" s="41"/>
      <c r="FD179" s="41"/>
      <c r="FE179" s="41"/>
      <c r="FF179" s="41"/>
      <c r="FG179" s="41"/>
      <c r="FH179" s="41"/>
      <c r="FI179" s="41"/>
      <c r="FJ179" s="41"/>
      <c r="FK179" s="41"/>
      <c r="FL179" s="41"/>
      <c r="FM179" s="41"/>
      <c r="FN179" s="41"/>
      <c r="FO179" s="41"/>
      <c r="FP179" s="41"/>
      <c r="FQ179" s="41"/>
      <c r="FR179" s="41"/>
      <c r="FS179" s="41"/>
      <c r="FT179" s="41"/>
      <c r="FU179" s="41"/>
    </row>
    <row r="180" spans="1:177" s="6" customFormat="1" ht="15" x14ac:dyDescent="0.2">
      <c r="A180" s="157"/>
      <c r="B180" s="158" t="s">
        <v>217</v>
      </c>
      <c r="C180" s="56"/>
      <c r="D180" s="56"/>
      <c r="E180" s="56"/>
      <c r="F180" s="146">
        <f>((C180+D180+E180)/3)*(1+Parâmetros!C11)</f>
        <v>0</v>
      </c>
      <c r="G180" s="146">
        <f>((D180+E180+F180)/3)*(1+Parâmetros!D11)</f>
        <v>0</v>
      </c>
      <c r="H180" s="146">
        <f>((E180+F180+G180)/3)*(1+Parâmetros!E11)</f>
        <v>0</v>
      </c>
      <c r="I180" s="146">
        <f>((F180+G180+H180)/3)*(1+Parâmetros!F11)</f>
        <v>0</v>
      </c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41"/>
      <c r="AL180" s="41"/>
      <c r="AM180" s="41"/>
      <c r="AN180" s="41"/>
      <c r="AO180" s="41"/>
      <c r="AP180" s="41"/>
      <c r="AQ180" s="41"/>
      <c r="AR180" s="41"/>
      <c r="AS180" s="41"/>
      <c r="AT180" s="41"/>
      <c r="AU180" s="41"/>
      <c r="AV180" s="41"/>
      <c r="AW180" s="41"/>
      <c r="AX180" s="41"/>
      <c r="AY180" s="41"/>
      <c r="AZ180" s="41"/>
      <c r="BA180" s="41"/>
      <c r="BB180" s="41"/>
      <c r="BC180" s="41"/>
      <c r="BD180" s="41"/>
      <c r="BE180" s="41"/>
      <c r="BF180" s="41"/>
      <c r="BG180" s="41"/>
      <c r="BH180" s="41"/>
      <c r="BI180" s="41"/>
      <c r="BJ180" s="41"/>
      <c r="BK180" s="41"/>
      <c r="BL180" s="41"/>
      <c r="BM180" s="41"/>
      <c r="BN180" s="41"/>
      <c r="BO180" s="41"/>
      <c r="BP180" s="41"/>
      <c r="BQ180" s="41"/>
      <c r="BR180" s="41"/>
      <c r="BS180" s="41"/>
      <c r="BT180" s="41"/>
      <c r="BU180" s="41"/>
      <c r="BV180" s="41"/>
      <c r="BW180" s="41"/>
      <c r="BX180" s="41"/>
      <c r="BY180" s="41"/>
      <c r="BZ180" s="41"/>
      <c r="CA180" s="41"/>
      <c r="CB180" s="41"/>
      <c r="CC180" s="41"/>
      <c r="CD180" s="41"/>
      <c r="CE180" s="41"/>
      <c r="CF180" s="41"/>
      <c r="CG180" s="41"/>
      <c r="CH180" s="41"/>
      <c r="CI180" s="41"/>
      <c r="CJ180" s="41"/>
      <c r="CK180" s="41"/>
      <c r="CL180" s="41"/>
      <c r="CM180" s="41"/>
      <c r="CN180" s="41"/>
      <c r="CO180" s="41"/>
      <c r="CP180" s="41"/>
      <c r="CQ180" s="41"/>
      <c r="CR180" s="41"/>
      <c r="CS180" s="41"/>
      <c r="CT180" s="41"/>
      <c r="CU180" s="41"/>
      <c r="CV180" s="41"/>
      <c r="CW180" s="41"/>
      <c r="CX180" s="41"/>
      <c r="CY180" s="41"/>
      <c r="CZ180" s="41"/>
      <c r="DA180" s="41"/>
      <c r="DB180" s="41"/>
      <c r="DC180" s="41"/>
      <c r="DD180" s="41"/>
      <c r="DE180" s="41"/>
      <c r="DF180" s="41"/>
      <c r="DG180" s="41"/>
      <c r="DH180" s="41"/>
      <c r="DI180" s="41"/>
      <c r="DJ180" s="41"/>
      <c r="DK180" s="41"/>
      <c r="DL180" s="41"/>
      <c r="DM180" s="41"/>
      <c r="DN180" s="41"/>
      <c r="DO180" s="41"/>
      <c r="DP180" s="41"/>
      <c r="DQ180" s="41"/>
      <c r="DR180" s="41"/>
      <c r="DS180" s="41"/>
      <c r="DT180" s="41"/>
      <c r="DU180" s="41"/>
      <c r="DV180" s="41"/>
      <c r="DW180" s="41"/>
      <c r="DX180" s="41"/>
      <c r="DY180" s="41"/>
      <c r="DZ180" s="41"/>
      <c r="EA180" s="41"/>
      <c r="EB180" s="41"/>
      <c r="EC180" s="41"/>
      <c r="ED180" s="41"/>
      <c r="EE180" s="41"/>
      <c r="EF180" s="41"/>
      <c r="EG180" s="41"/>
      <c r="EH180" s="41"/>
      <c r="EI180" s="41"/>
      <c r="EJ180" s="41"/>
      <c r="EK180" s="41"/>
      <c r="EL180" s="41"/>
      <c r="EM180" s="41"/>
      <c r="EN180" s="41"/>
      <c r="EO180" s="41"/>
      <c r="EP180" s="41"/>
      <c r="EQ180" s="41"/>
      <c r="ER180" s="41"/>
      <c r="ES180" s="41"/>
      <c r="ET180" s="41"/>
      <c r="EU180" s="41"/>
      <c r="EV180" s="41"/>
      <c r="EW180" s="41"/>
      <c r="EX180" s="41"/>
      <c r="EY180" s="41"/>
      <c r="EZ180" s="41"/>
      <c r="FA180" s="41"/>
      <c r="FB180" s="41"/>
      <c r="FC180" s="41"/>
      <c r="FD180" s="41"/>
      <c r="FE180" s="41"/>
      <c r="FF180" s="41"/>
      <c r="FG180" s="41"/>
      <c r="FH180" s="41"/>
      <c r="FI180" s="41"/>
      <c r="FJ180" s="41"/>
      <c r="FK180" s="41"/>
      <c r="FL180" s="41"/>
      <c r="FM180" s="41"/>
      <c r="FN180" s="41"/>
      <c r="FO180" s="41"/>
      <c r="FP180" s="41"/>
      <c r="FQ180" s="41"/>
      <c r="FR180" s="41"/>
      <c r="FS180" s="41"/>
      <c r="FT180" s="41"/>
      <c r="FU180" s="41"/>
    </row>
    <row r="181" spans="1:177" s="6" customFormat="1" ht="15" x14ac:dyDescent="0.2">
      <c r="A181" s="157"/>
      <c r="B181" s="158" t="s">
        <v>218</v>
      </c>
      <c r="C181" s="56"/>
      <c r="D181" s="56"/>
      <c r="E181" s="56"/>
      <c r="F181" s="146">
        <f>((C181+D181+E181)/3)*(1+Parâmetros!C11)</f>
        <v>0</v>
      </c>
      <c r="G181" s="146">
        <f>((D181+E181+F181)/3)*(1+Parâmetros!D11)</f>
        <v>0</v>
      </c>
      <c r="H181" s="146">
        <f>((E181+F181+G181)/3)*(1+Parâmetros!E11)</f>
        <v>0</v>
      </c>
      <c r="I181" s="146">
        <f>((F181+G181+H181)/3)*(1+Parâmetros!F11)</f>
        <v>0</v>
      </c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 s="41"/>
      <c r="AL181" s="41"/>
      <c r="AM181" s="41"/>
      <c r="AN181" s="41"/>
      <c r="AO181" s="41"/>
      <c r="AP181" s="41"/>
      <c r="AQ181" s="41"/>
      <c r="AR181" s="41"/>
      <c r="AS181" s="41"/>
      <c r="AT181" s="41"/>
      <c r="AU181" s="41"/>
      <c r="AV181" s="41"/>
      <c r="AW181" s="41"/>
      <c r="AX181" s="41"/>
      <c r="AY181" s="41"/>
      <c r="AZ181" s="41"/>
      <c r="BA181" s="41"/>
      <c r="BB181" s="41"/>
      <c r="BC181" s="41"/>
      <c r="BD181" s="41"/>
      <c r="BE181" s="41"/>
      <c r="BF181" s="41"/>
      <c r="BG181" s="41"/>
      <c r="BH181" s="41"/>
      <c r="BI181" s="41"/>
      <c r="BJ181" s="41"/>
      <c r="BK181" s="41"/>
      <c r="BL181" s="41"/>
      <c r="BM181" s="41"/>
      <c r="BN181" s="41"/>
      <c r="BO181" s="41"/>
      <c r="BP181" s="41"/>
      <c r="BQ181" s="41"/>
      <c r="BR181" s="41"/>
      <c r="BS181" s="41"/>
      <c r="BT181" s="41"/>
      <c r="BU181" s="41"/>
      <c r="BV181" s="41"/>
      <c r="BW181" s="41"/>
      <c r="BX181" s="41"/>
      <c r="BY181" s="41"/>
      <c r="BZ181" s="41"/>
      <c r="CA181" s="41"/>
      <c r="CB181" s="41"/>
      <c r="CC181" s="41"/>
      <c r="CD181" s="41"/>
      <c r="CE181" s="41"/>
      <c r="CF181" s="41"/>
      <c r="CG181" s="41"/>
      <c r="CH181" s="41"/>
      <c r="CI181" s="41"/>
      <c r="CJ181" s="41"/>
      <c r="CK181" s="41"/>
      <c r="CL181" s="41"/>
      <c r="CM181" s="41"/>
      <c r="CN181" s="41"/>
      <c r="CO181" s="41"/>
      <c r="CP181" s="41"/>
      <c r="CQ181" s="41"/>
      <c r="CR181" s="41"/>
      <c r="CS181" s="41"/>
      <c r="CT181" s="41"/>
      <c r="CU181" s="41"/>
      <c r="CV181" s="41"/>
      <c r="CW181" s="41"/>
      <c r="CX181" s="41"/>
      <c r="CY181" s="41"/>
      <c r="CZ181" s="41"/>
      <c r="DA181" s="41"/>
      <c r="DB181" s="41"/>
      <c r="DC181" s="41"/>
      <c r="DD181" s="41"/>
      <c r="DE181" s="41"/>
      <c r="DF181" s="41"/>
      <c r="DG181" s="41"/>
      <c r="DH181" s="41"/>
      <c r="DI181" s="41"/>
      <c r="DJ181" s="41"/>
      <c r="DK181" s="41"/>
      <c r="DL181" s="41"/>
      <c r="DM181" s="41"/>
      <c r="DN181" s="41"/>
      <c r="DO181" s="41"/>
      <c r="DP181" s="41"/>
      <c r="DQ181" s="41"/>
      <c r="DR181" s="41"/>
      <c r="DS181" s="41"/>
      <c r="DT181" s="41"/>
      <c r="DU181" s="41"/>
      <c r="DV181" s="41"/>
      <c r="DW181" s="41"/>
      <c r="DX181" s="41"/>
      <c r="DY181" s="41"/>
      <c r="DZ181" s="41"/>
      <c r="EA181" s="41"/>
      <c r="EB181" s="41"/>
      <c r="EC181" s="41"/>
      <c r="ED181" s="41"/>
      <c r="EE181" s="41"/>
      <c r="EF181" s="41"/>
      <c r="EG181" s="41"/>
      <c r="EH181" s="41"/>
      <c r="EI181" s="41"/>
      <c r="EJ181" s="41"/>
      <c r="EK181" s="41"/>
      <c r="EL181" s="41"/>
      <c r="EM181" s="41"/>
      <c r="EN181" s="41"/>
      <c r="EO181" s="41"/>
      <c r="EP181" s="41"/>
      <c r="EQ181" s="41"/>
      <c r="ER181" s="41"/>
      <c r="ES181" s="41"/>
      <c r="ET181" s="41"/>
      <c r="EU181" s="41"/>
      <c r="EV181" s="41"/>
      <c r="EW181" s="41"/>
      <c r="EX181" s="41"/>
      <c r="EY181" s="41"/>
      <c r="EZ181" s="41"/>
      <c r="FA181" s="41"/>
      <c r="FB181" s="41"/>
      <c r="FC181" s="41"/>
      <c r="FD181" s="41"/>
      <c r="FE181" s="41"/>
      <c r="FF181" s="41"/>
      <c r="FG181" s="41"/>
      <c r="FH181" s="41"/>
      <c r="FI181" s="41"/>
      <c r="FJ181" s="41"/>
      <c r="FK181" s="41"/>
      <c r="FL181" s="41"/>
      <c r="FM181" s="41"/>
      <c r="FN181" s="41"/>
      <c r="FO181" s="41"/>
      <c r="FP181" s="41"/>
      <c r="FQ181" s="41"/>
      <c r="FR181" s="41"/>
      <c r="FS181" s="41"/>
      <c r="FT181" s="41"/>
      <c r="FU181" s="41"/>
    </row>
    <row r="182" spans="1:177" s="6" customFormat="1" ht="15" x14ac:dyDescent="0.2">
      <c r="A182" s="157"/>
      <c r="B182" s="158" t="s">
        <v>219</v>
      </c>
      <c r="C182" s="56"/>
      <c r="D182" s="56"/>
      <c r="E182" s="56"/>
      <c r="F182" s="146">
        <f>((C182+D182+E182)/3)*(1+Parâmetros!C11)</f>
        <v>0</v>
      </c>
      <c r="G182" s="146">
        <f>((D182+E182+F182)/3)*(1+Parâmetros!D11)</f>
        <v>0</v>
      </c>
      <c r="H182" s="146">
        <f>((E182+F182+G182)/3)*(1+Parâmetros!E11)</f>
        <v>0</v>
      </c>
      <c r="I182" s="146">
        <f>((F182+G182+H182)/3)*(1+Parâmetros!F11)</f>
        <v>0</v>
      </c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 s="41"/>
      <c r="AL182" s="41"/>
      <c r="AM182" s="41"/>
      <c r="AN182" s="41"/>
      <c r="AO182" s="41"/>
      <c r="AP182" s="41"/>
      <c r="AQ182" s="41"/>
      <c r="AR182" s="41"/>
      <c r="AS182" s="41"/>
      <c r="AT182" s="41"/>
      <c r="AU182" s="41"/>
      <c r="AV182" s="41"/>
      <c r="AW182" s="41"/>
      <c r="AX182" s="41"/>
      <c r="AY182" s="41"/>
      <c r="AZ182" s="41"/>
      <c r="BA182" s="41"/>
      <c r="BB182" s="41"/>
      <c r="BC182" s="41"/>
      <c r="BD182" s="41"/>
      <c r="BE182" s="41"/>
      <c r="BF182" s="41"/>
      <c r="BG182" s="41"/>
      <c r="BH182" s="41"/>
      <c r="BI182" s="41"/>
      <c r="BJ182" s="41"/>
      <c r="BK182" s="41"/>
      <c r="BL182" s="41"/>
      <c r="BM182" s="41"/>
      <c r="BN182" s="41"/>
      <c r="BO182" s="41"/>
      <c r="BP182" s="41"/>
      <c r="BQ182" s="41"/>
      <c r="BR182" s="41"/>
      <c r="BS182" s="41"/>
      <c r="BT182" s="41"/>
      <c r="BU182" s="41"/>
      <c r="BV182" s="41"/>
      <c r="BW182" s="41"/>
      <c r="BX182" s="41"/>
      <c r="BY182" s="41"/>
      <c r="BZ182" s="41"/>
      <c r="CA182" s="41"/>
      <c r="CB182" s="41"/>
      <c r="CC182" s="41"/>
      <c r="CD182" s="41"/>
      <c r="CE182" s="41"/>
      <c r="CF182" s="41"/>
      <c r="CG182" s="41"/>
      <c r="CH182" s="41"/>
      <c r="CI182" s="41"/>
      <c r="CJ182" s="41"/>
      <c r="CK182" s="41"/>
      <c r="CL182" s="41"/>
      <c r="CM182" s="41"/>
      <c r="CN182" s="41"/>
      <c r="CO182" s="41"/>
      <c r="CP182" s="41"/>
      <c r="CQ182" s="41"/>
      <c r="CR182" s="41"/>
      <c r="CS182" s="41"/>
      <c r="CT182" s="41"/>
      <c r="CU182" s="41"/>
      <c r="CV182" s="41"/>
      <c r="CW182" s="41"/>
      <c r="CX182" s="41"/>
      <c r="CY182" s="41"/>
      <c r="CZ182" s="41"/>
      <c r="DA182" s="41"/>
      <c r="DB182" s="41"/>
      <c r="DC182" s="41"/>
      <c r="DD182" s="41"/>
      <c r="DE182" s="41"/>
      <c r="DF182" s="41"/>
      <c r="DG182" s="41"/>
      <c r="DH182" s="41"/>
      <c r="DI182" s="41"/>
      <c r="DJ182" s="41"/>
      <c r="DK182" s="41"/>
      <c r="DL182" s="41"/>
      <c r="DM182" s="41"/>
      <c r="DN182" s="41"/>
      <c r="DO182" s="41"/>
      <c r="DP182" s="41"/>
      <c r="DQ182" s="41"/>
      <c r="DR182" s="41"/>
      <c r="DS182" s="41"/>
      <c r="DT182" s="41"/>
      <c r="DU182" s="41"/>
      <c r="DV182" s="41"/>
      <c r="DW182" s="41"/>
      <c r="DX182" s="41"/>
      <c r="DY182" s="41"/>
      <c r="DZ182" s="41"/>
      <c r="EA182" s="41"/>
      <c r="EB182" s="41"/>
      <c r="EC182" s="41"/>
      <c r="ED182" s="41"/>
      <c r="EE182" s="41"/>
      <c r="EF182" s="41"/>
      <c r="EG182" s="41"/>
      <c r="EH182" s="41"/>
      <c r="EI182" s="41"/>
      <c r="EJ182" s="41"/>
      <c r="EK182" s="41"/>
      <c r="EL182" s="41"/>
      <c r="EM182" s="41"/>
      <c r="EN182" s="41"/>
      <c r="EO182" s="41"/>
      <c r="EP182" s="41"/>
      <c r="EQ182" s="41"/>
      <c r="ER182" s="41"/>
      <c r="ES182" s="41"/>
      <c r="ET182" s="41"/>
      <c r="EU182" s="41"/>
      <c r="EV182" s="41"/>
      <c r="EW182" s="41"/>
      <c r="EX182" s="41"/>
      <c r="EY182" s="41"/>
      <c r="EZ182" s="41"/>
      <c r="FA182" s="41"/>
      <c r="FB182" s="41"/>
      <c r="FC182" s="41"/>
      <c r="FD182" s="41"/>
      <c r="FE182" s="41"/>
      <c r="FF182" s="41"/>
      <c r="FG182" s="41"/>
      <c r="FH182" s="41"/>
      <c r="FI182" s="41"/>
      <c r="FJ182" s="41"/>
      <c r="FK182" s="41"/>
      <c r="FL182" s="41"/>
      <c r="FM182" s="41"/>
      <c r="FN182" s="41"/>
      <c r="FO182" s="41"/>
      <c r="FP182" s="41"/>
      <c r="FQ182" s="41"/>
      <c r="FR182" s="41"/>
      <c r="FS182" s="41"/>
      <c r="FT182" s="41"/>
      <c r="FU182" s="41"/>
    </row>
    <row r="183" spans="1:177" s="6" customFormat="1" ht="15" x14ac:dyDescent="0.2">
      <c r="A183" s="157"/>
      <c r="B183" s="158" t="s">
        <v>220</v>
      </c>
      <c r="C183" s="56"/>
      <c r="D183" s="56"/>
      <c r="E183" s="56"/>
      <c r="F183" s="146">
        <f>((C183+D183+E183)/3)*(1+Parâmetros!C11)</f>
        <v>0</v>
      </c>
      <c r="G183" s="146">
        <f>((D183+E183+F183)/3)*(1+Parâmetros!D11)</f>
        <v>0</v>
      </c>
      <c r="H183" s="146">
        <f>((E183+F183+G183)/3)*(1+Parâmetros!E11)</f>
        <v>0</v>
      </c>
      <c r="I183" s="146">
        <f>((F183+G183+H183)/3)*(1+Parâmetros!F11)</f>
        <v>0</v>
      </c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 s="41"/>
      <c r="AL183" s="41"/>
      <c r="AM183" s="41"/>
      <c r="AN183" s="41"/>
      <c r="AO183" s="41"/>
      <c r="AP183" s="41"/>
      <c r="AQ183" s="41"/>
      <c r="AR183" s="41"/>
      <c r="AS183" s="41"/>
      <c r="AT183" s="41"/>
      <c r="AU183" s="41"/>
      <c r="AV183" s="41"/>
      <c r="AW183" s="41"/>
      <c r="AX183" s="41"/>
      <c r="AY183" s="41"/>
      <c r="AZ183" s="41"/>
      <c r="BA183" s="41"/>
      <c r="BB183" s="41"/>
      <c r="BC183" s="41"/>
      <c r="BD183" s="41"/>
      <c r="BE183" s="41"/>
      <c r="BF183" s="41"/>
      <c r="BG183" s="41"/>
      <c r="BH183" s="41"/>
      <c r="BI183" s="41"/>
      <c r="BJ183" s="41"/>
      <c r="BK183" s="41"/>
      <c r="BL183" s="41"/>
      <c r="BM183" s="41"/>
      <c r="BN183" s="41"/>
      <c r="BO183" s="41"/>
      <c r="BP183" s="41"/>
      <c r="BQ183" s="41"/>
      <c r="BR183" s="41"/>
      <c r="BS183" s="41"/>
      <c r="BT183" s="41"/>
      <c r="BU183" s="41"/>
      <c r="BV183" s="41"/>
      <c r="BW183" s="41"/>
      <c r="BX183" s="41"/>
      <c r="BY183" s="41"/>
      <c r="BZ183" s="41"/>
      <c r="CA183" s="41"/>
      <c r="CB183" s="41"/>
      <c r="CC183" s="41"/>
      <c r="CD183" s="41"/>
      <c r="CE183" s="41"/>
      <c r="CF183" s="41"/>
      <c r="CG183" s="41"/>
      <c r="CH183" s="41"/>
      <c r="CI183" s="41"/>
      <c r="CJ183" s="41"/>
      <c r="CK183" s="41"/>
      <c r="CL183" s="41"/>
      <c r="CM183" s="41"/>
      <c r="CN183" s="41"/>
      <c r="CO183" s="41"/>
      <c r="CP183" s="41"/>
      <c r="CQ183" s="41"/>
      <c r="CR183" s="41"/>
      <c r="CS183" s="41"/>
      <c r="CT183" s="41"/>
      <c r="CU183" s="41"/>
      <c r="CV183" s="41"/>
      <c r="CW183" s="41"/>
      <c r="CX183" s="41"/>
      <c r="CY183" s="41"/>
      <c r="CZ183" s="41"/>
      <c r="DA183" s="41"/>
      <c r="DB183" s="41"/>
      <c r="DC183" s="41"/>
      <c r="DD183" s="41"/>
      <c r="DE183" s="41"/>
      <c r="DF183" s="41"/>
      <c r="DG183" s="41"/>
      <c r="DH183" s="41"/>
      <c r="DI183" s="41"/>
      <c r="DJ183" s="41"/>
      <c r="DK183" s="41"/>
      <c r="DL183" s="41"/>
      <c r="DM183" s="41"/>
      <c r="DN183" s="41"/>
      <c r="DO183" s="41"/>
      <c r="DP183" s="41"/>
      <c r="DQ183" s="41"/>
      <c r="DR183" s="41"/>
      <c r="DS183" s="41"/>
      <c r="DT183" s="41"/>
      <c r="DU183" s="41"/>
      <c r="DV183" s="41"/>
      <c r="DW183" s="41"/>
      <c r="DX183" s="41"/>
      <c r="DY183" s="41"/>
      <c r="DZ183" s="41"/>
      <c r="EA183" s="41"/>
      <c r="EB183" s="41"/>
      <c r="EC183" s="41"/>
      <c r="ED183" s="41"/>
      <c r="EE183" s="41"/>
      <c r="EF183" s="41"/>
      <c r="EG183" s="41"/>
      <c r="EH183" s="41"/>
      <c r="EI183" s="41"/>
      <c r="EJ183" s="41"/>
      <c r="EK183" s="41"/>
      <c r="EL183" s="41"/>
      <c r="EM183" s="41"/>
      <c r="EN183" s="41"/>
      <c r="EO183" s="41"/>
      <c r="EP183" s="41"/>
      <c r="EQ183" s="41"/>
      <c r="ER183" s="41"/>
      <c r="ES183" s="41"/>
      <c r="ET183" s="41"/>
      <c r="EU183" s="41"/>
      <c r="EV183" s="41"/>
      <c r="EW183" s="41"/>
      <c r="EX183" s="41"/>
      <c r="EY183" s="41"/>
      <c r="EZ183" s="41"/>
      <c r="FA183" s="41"/>
      <c r="FB183" s="41"/>
      <c r="FC183" s="41"/>
      <c r="FD183" s="41"/>
      <c r="FE183" s="41"/>
      <c r="FF183" s="41"/>
      <c r="FG183" s="41"/>
      <c r="FH183" s="41"/>
      <c r="FI183" s="41"/>
      <c r="FJ183" s="41"/>
      <c r="FK183" s="41"/>
      <c r="FL183" s="41"/>
      <c r="FM183" s="41"/>
      <c r="FN183" s="41"/>
      <c r="FO183" s="41"/>
      <c r="FP183" s="41"/>
      <c r="FQ183" s="41"/>
      <c r="FR183" s="41"/>
      <c r="FS183" s="41"/>
      <c r="FT183" s="41"/>
      <c r="FU183" s="41"/>
    </row>
    <row r="184" spans="1:177" s="6" customFormat="1" x14ac:dyDescent="0.25">
      <c r="A184" s="155" t="s">
        <v>27</v>
      </c>
      <c r="B184" s="156" t="s">
        <v>222</v>
      </c>
      <c r="C184" s="161">
        <f t="shared" ref="C184:I184" si="32">SUM(C185:C190)</f>
        <v>0</v>
      </c>
      <c r="D184" s="161">
        <f t="shared" si="32"/>
        <v>0</v>
      </c>
      <c r="E184" s="161">
        <f t="shared" si="32"/>
        <v>0</v>
      </c>
      <c r="F184" s="161">
        <f t="shared" si="32"/>
        <v>0</v>
      </c>
      <c r="G184" s="161">
        <f t="shared" si="32"/>
        <v>0</v>
      </c>
      <c r="H184" s="161">
        <f t="shared" si="32"/>
        <v>0</v>
      </c>
      <c r="I184" s="161">
        <f t="shared" si="32"/>
        <v>0</v>
      </c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 s="41"/>
      <c r="AL184" s="41"/>
      <c r="AM184" s="41"/>
      <c r="AN184" s="41"/>
      <c r="AO184" s="41"/>
      <c r="AP184" s="41"/>
      <c r="AQ184" s="41"/>
      <c r="AR184" s="41"/>
      <c r="AS184" s="41"/>
      <c r="AT184" s="41"/>
      <c r="AU184" s="41"/>
      <c r="AV184" s="41"/>
      <c r="AW184" s="41"/>
      <c r="AX184" s="41"/>
      <c r="AY184" s="41"/>
      <c r="AZ184" s="41"/>
      <c r="BA184" s="41"/>
      <c r="BB184" s="41"/>
      <c r="BC184" s="41"/>
      <c r="BD184" s="41"/>
      <c r="BE184" s="41"/>
      <c r="BF184" s="41"/>
      <c r="BG184" s="41"/>
      <c r="BH184" s="41"/>
      <c r="BI184" s="41"/>
      <c r="BJ184" s="41"/>
      <c r="BK184" s="41"/>
      <c r="BL184" s="41"/>
      <c r="BM184" s="41"/>
      <c r="BN184" s="41"/>
      <c r="BO184" s="41"/>
      <c r="BP184" s="41"/>
      <c r="BQ184" s="41"/>
      <c r="BR184" s="41"/>
      <c r="BS184" s="41"/>
      <c r="BT184" s="41"/>
      <c r="BU184" s="41"/>
      <c r="BV184" s="41"/>
      <c r="BW184" s="41"/>
      <c r="BX184" s="41"/>
      <c r="BY184" s="41"/>
      <c r="BZ184" s="41"/>
      <c r="CA184" s="41"/>
      <c r="CB184" s="41"/>
      <c r="CC184" s="41"/>
      <c r="CD184" s="41"/>
      <c r="CE184" s="41"/>
      <c r="CF184" s="41"/>
      <c r="CG184" s="41"/>
      <c r="CH184" s="41"/>
      <c r="CI184" s="41"/>
      <c r="CJ184" s="41"/>
      <c r="CK184" s="41"/>
      <c r="CL184" s="41"/>
      <c r="CM184" s="41"/>
      <c r="CN184" s="41"/>
      <c r="CO184" s="41"/>
      <c r="CP184" s="41"/>
      <c r="CQ184" s="41"/>
      <c r="CR184" s="41"/>
      <c r="CS184" s="41"/>
      <c r="CT184" s="41"/>
      <c r="CU184" s="41"/>
      <c r="CV184" s="41"/>
      <c r="CW184" s="41"/>
      <c r="CX184" s="41"/>
      <c r="CY184" s="41"/>
      <c r="CZ184" s="41"/>
      <c r="DA184" s="41"/>
      <c r="DB184" s="41"/>
      <c r="DC184" s="41"/>
      <c r="DD184" s="41"/>
      <c r="DE184" s="41"/>
      <c r="DF184" s="41"/>
      <c r="DG184" s="41"/>
      <c r="DH184" s="41"/>
      <c r="DI184" s="41"/>
      <c r="DJ184" s="41"/>
      <c r="DK184" s="41"/>
      <c r="DL184" s="41"/>
      <c r="DM184" s="41"/>
      <c r="DN184" s="41"/>
      <c r="DO184" s="41"/>
      <c r="DP184" s="41"/>
      <c r="DQ184" s="41"/>
      <c r="DR184" s="41"/>
      <c r="DS184" s="41"/>
      <c r="DT184" s="41"/>
      <c r="DU184" s="41"/>
      <c r="DV184" s="41"/>
      <c r="DW184" s="41"/>
      <c r="DX184" s="41"/>
      <c r="DY184" s="41"/>
      <c r="DZ184" s="41"/>
      <c r="EA184" s="41"/>
      <c r="EB184" s="41"/>
      <c r="EC184" s="41"/>
      <c r="ED184" s="41"/>
      <c r="EE184" s="41"/>
      <c r="EF184" s="41"/>
      <c r="EG184" s="41"/>
      <c r="EH184" s="41"/>
      <c r="EI184" s="41"/>
      <c r="EJ184" s="41"/>
      <c r="EK184" s="41"/>
      <c r="EL184" s="41"/>
      <c r="EM184" s="41"/>
      <c r="EN184" s="41"/>
      <c r="EO184" s="41"/>
      <c r="EP184" s="41"/>
      <c r="EQ184" s="41"/>
      <c r="ER184" s="41"/>
      <c r="ES184" s="41"/>
      <c r="ET184" s="41"/>
      <c r="EU184" s="41"/>
      <c r="EV184" s="41"/>
      <c r="EW184" s="41"/>
      <c r="EX184" s="41"/>
      <c r="EY184" s="41"/>
      <c r="EZ184" s="41"/>
      <c r="FA184" s="41"/>
      <c r="FB184" s="41"/>
      <c r="FC184" s="41"/>
      <c r="FD184" s="41"/>
      <c r="FE184" s="41"/>
      <c r="FF184" s="41"/>
      <c r="FG184" s="41"/>
      <c r="FH184" s="41"/>
      <c r="FI184" s="41"/>
      <c r="FJ184" s="41"/>
      <c r="FK184" s="41"/>
      <c r="FL184" s="41"/>
      <c r="FM184" s="41"/>
      <c r="FN184" s="41"/>
      <c r="FO184" s="41"/>
      <c r="FP184" s="41"/>
      <c r="FQ184" s="41"/>
      <c r="FR184" s="41"/>
      <c r="FS184" s="41"/>
      <c r="FT184" s="41"/>
      <c r="FU184" s="41"/>
    </row>
    <row r="185" spans="1:177" s="6" customFormat="1" ht="15" x14ac:dyDescent="0.2">
      <c r="A185" s="157"/>
      <c r="B185" s="158" t="s">
        <v>223</v>
      </c>
      <c r="C185" s="56"/>
      <c r="D185" s="56"/>
      <c r="E185" s="56"/>
      <c r="F185" s="146">
        <f t="shared" ref="F185:I190" si="33">((C185+D185+E185)/3)</f>
        <v>0</v>
      </c>
      <c r="G185" s="146">
        <f t="shared" si="33"/>
        <v>0</v>
      </c>
      <c r="H185" s="146">
        <f t="shared" si="33"/>
        <v>0</v>
      </c>
      <c r="I185" s="146">
        <f t="shared" si="33"/>
        <v>0</v>
      </c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 s="41"/>
      <c r="AL185" s="41"/>
      <c r="AM185" s="41"/>
      <c r="AN185" s="41"/>
      <c r="AO185" s="41"/>
      <c r="AP185" s="41"/>
      <c r="AQ185" s="41"/>
      <c r="AR185" s="41"/>
      <c r="AS185" s="41"/>
      <c r="AT185" s="41"/>
      <c r="AU185" s="41"/>
      <c r="AV185" s="41"/>
      <c r="AW185" s="41"/>
      <c r="AX185" s="41"/>
      <c r="AY185" s="41"/>
      <c r="AZ185" s="41"/>
      <c r="BA185" s="41"/>
      <c r="BB185" s="41"/>
      <c r="BC185" s="41"/>
      <c r="BD185" s="41"/>
      <c r="BE185" s="41"/>
      <c r="BF185" s="41"/>
      <c r="BG185" s="41"/>
      <c r="BH185" s="41"/>
      <c r="BI185" s="41"/>
      <c r="BJ185" s="41"/>
      <c r="BK185" s="41"/>
      <c r="BL185" s="41"/>
      <c r="BM185" s="41"/>
      <c r="BN185" s="41"/>
      <c r="BO185" s="41"/>
      <c r="BP185" s="41"/>
      <c r="BQ185" s="41"/>
      <c r="BR185" s="41"/>
      <c r="BS185" s="41"/>
      <c r="BT185" s="41"/>
      <c r="BU185" s="41"/>
      <c r="BV185" s="41"/>
      <c r="BW185" s="41"/>
      <c r="BX185" s="41"/>
      <c r="BY185" s="41"/>
      <c r="BZ185" s="41"/>
      <c r="CA185" s="41"/>
      <c r="CB185" s="41"/>
      <c r="CC185" s="41"/>
      <c r="CD185" s="41"/>
      <c r="CE185" s="41"/>
      <c r="CF185" s="41"/>
      <c r="CG185" s="41"/>
      <c r="CH185" s="41"/>
      <c r="CI185" s="41"/>
      <c r="CJ185" s="41"/>
      <c r="CK185" s="41"/>
      <c r="CL185" s="41"/>
      <c r="CM185" s="41"/>
      <c r="CN185" s="41"/>
      <c r="CO185" s="41"/>
      <c r="CP185" s="41"/>
      <c r="CQ185" s="41"/>
      <c r="CR185" s="41"/>
      <c r="CS185" s="41"/>
      <c r="CT185" s="41"/>
      <c r="CU185" s="41"/>
      <c r="CV185" s="41"/>
      <c r="CW185" s="41"/>
      <c r="CX185" s="41"/>
      <c r="CY185" s="41"/>
      <c r="CZ185" s="41"/>
      <c r="DA185" s="41"/>
      <c r="DB185" s="41"/>
      <c r="DC185" s="41"/>
      <c r="DD185" s="41"/>
      <c r="DE185" s="41"/>
      <c r="DF185" s="41"/>
      <c r="DG185" s="41"/>
      <c r="DH185" s="41"/>
      <c r="DI185" s="41"/>
      <c r="DJ185" s="41"/>
      <c r="DK185" s="41"/>
      <c r="DL185" s="41"/>
      <c r="DM185" s="41"/>
      <c r="DN185" s="41"/>
      <c r="DO185" s="41"/>
      <c r="DP185" s="41"/>
      <c r="DQ185" s="41"/>
      <c r="DR185" s="41"/>
      <c r="DS185" s="41"/>
      <c r="DT185" s="41"/>
      <c r="DU185" s="41"/>
      <c r="DV185" s="41"/>
      <c r="DW185" s="41"/>
      <c r="DX185" s="41"/>
      <c r="DY185" s="41"/>
      <c r="DZ185" s="41"/>
      <c r="EA185" s="41"/>
      <c r="EB185" s="41"/>
      <c r="EC185" s="41"/>
      <c r="ED185" s="41"/>
      <c r="EE185" s="41"/>
      <c r="EF185" s="41"/>
      <c r="EG185" s="41"/>
      <c r="EH185" s="41"/>
      <c r="EI185" s="41"/>
      <c r="EJ185" s="41"/>
      <c r="EK185" s="41"/>
      <c r="EL185" s="41"/>
      <c r="EM185" s="41"/>
      <c r="EN185" s="41"/>
      <c r="EO185" s="41"/>
      <c r="EP185" s="41"/>
      <c r="EQ185" s="41"/>
      <c r="ER185" s="41"/>
      <c r="ES185" s="41"/>
      <c r="ET185" s="41"/>
      <c r="EU185" s="41"/>
      <c r="EV185" s="41"/>
      <c r="EW185" s="41"/>
      <c r="EX185" s="41"/>
      <c r="EY185" s="41"/>
      <c r="EZ185" s="41"/>
      <c r="FA185" s="41"/>
      <c r="FB185" s="41"/>
      <c r="FC185" s="41"/>
      <c r="FD185" s="41"/>
      <c r="FE185" s="41"/>
      <c r="FF185" s="41"/>
      <c r="FG185" s="41"/>
      <c r="FH185" s="41"/>
      <c r="FI185" s="41"/>
      <c r="FJ185" s="41"/>
      <c r="FK185" s="41"/>
      <c r="FL185" s="41"/>
      <c r="FM185" s="41"/>
      <c r="FN185" s="41"/>
      <c r="FO185" s="41"/>
      <c r="FP185" s="41"/>
      <c r="FQ185" s="41"/>
      <c r="FR185" s="41"/>
      <c r="FS185" s="41"/>
      <c r="FT185" s="41"/>
      <c r="FU185" s="41"/>
    </row>
    <row r="186" spans="1:177" s="6" customFormat="1" ht="15" x14ac:dyDescent="0.2">
      <c r="A186" s="157"/>
      <c r="B186" s="158" t="s">
        <v>224</v>
      </c>
      <c r="C186" s="56"/>
      <c r="D186" s="56"/>
      <c r="E186" s="56"/>
      <c r="F186" s="146">
        <f t="shared" si="33"/>
        <v>0</v>
      </c>
      <c r="G186" s="146">
        <f t="shared" si="33"/>
        <v>0</v>
      </c>
      <c r="H186" s="146">
        <f t="shared" si="33"/>
        <v>0</v>
      </c>
      <c r="I186" s="146">
        <f t="shared" si="33"/>
        <v>0</v>
      </c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 s="41"/>
      <c r="AL186" s="41"/>
      <c r="AM186" s="41"/>
      <c r="AN186" s="41"/>
      <c r="AO186" s="41"/>
      <c r="AP186" s="41"/>
      <c r="AQ186" s="41"/>
      <c r="AR186" s="41"/>
      <c r="AS186" s="41"/>
      <c r="AT186" s="41"/>
      <c r="AU186" s="41"/>
      <c r="AV186" s="41"/>
      <c r="AW186" s="41"/>
      <c r="AX186" s="41"/>
      <c r="AY186" s="41"/>
      <c r="AZ186" s="41"/>
      <c r="BA186" s="41"/>
      <c r="BB186" s="41"/>
      <c r="BC186" s="41"/>
      <c r="BD186" s="41"/>
      <c r="BE186" s="41"/>
      <c r="BF186" s="41"/>
      <c r="BG186" s="41"/>
      <c r="BH186" s="41"/>
      <c r="BI186" s="41"/>
      <c r="BJ186" s="41"/>
      <c r="BK186" s="41"/>
      <c r="BL186" s="41"/>
      <c r="BM186" s="41"/>
      <c r="BN186" s="41"/>
      <c r="BO186" s="41"/>
      <c r="BP186" s="41"/>
      <c r="BQ186" s="41"/>
      <c r="BR186" s="41"/>
      <c r="BS186" s="41"/>
      <c r="BT186" s="41"/>
      <c r="BU186" s="41"/>
      <c r="BV186" s="41"/>
      <c r="BW186" s="41"/>
      <c r="BX186" s="41"/>
      <c r="BY186" s="41"/>
      <c r="BZ186" s="41"/>
      <c r="CA186" s="41"/>
      <c r="CB186" s="41"/>
      <c r="CC186" s="41"/>
      <c r="CD186" s="41"/>
      <c r="CE186" s="41"/>
      <c r="CF186" s="41"/>
      <c r="CG186" s="41"/>
      <c r="CH186" s="41"/>
      <c r="CI186" s="41"/>
      <c r="CJ186" s="41"/>
      <c r="CK186" s="41"/>
      <c r="CL186" s="41"/>
      <c r="CM186" s="41"/>
      <c r="CN186" s="41"/>
      <c r="CO186" s="41"/>
      <c r="CP186" s="41"/>
      <c r="CQ186" s="41"/>
      <c r="CR186" s="41"/>
      <c r="CS186" s="41"/>
      <c r="CT186" s="41"/>
      <c r="CU186" s="41"/>
      <c r="CV186" s="41"/>
      <c r="CW186" s="41"/>
      <c r="CX186" s="41"/>
      <c r="CY186" s="41"/>
      <c r="CZ186" s="41"/>
      <c r="DA186" s="41"/>
      <c r="DB186" s="41"/>
      <c r="DC186" s="41"/>
      <c r="DD186" s="41"/>
      <c r="DE186" s="41"/>
      <c r="DF186" s="41"/>
      <c r="DG186" s="41"/>
      <c r="DH186" s="41"/>
      <c r="DI186" s="41"/>
      <c r="DJ186" s="41"/>
      <c r="DK186" s="41"/>
      <c r="DL186" s="41"/>
      <c r="DM186" s="41"/>
      <c r="DN186" s="41"/>
      <c r="DO186" s="41"/>
      <c r="DP186" s="41"/>
      <c r="DQ186" s="41"/>
      <c r="DR186" s="41"/>
      <c r="DS186" s="41"/>
      <c r="DT186" s="41"/>
      <c r="DU186" s="41"/>
      <c r="DV186" s="41"/>
      <c r="DW186" s="41"/>
      <c r="DX186" s="41"/>
      <c r="DY186" s="41"/>
      <c r="DZ186" s="41"/>
      <c r="EA186" s="41"/>
      <c r="EB186" s="41"/>
      <c r="EC186" s="41"/>
      <c r="ED186" s="41"/>
      <c r="EE186" s="41"/>
      <c r="EF186" s="41"/>
      <c r="EG186" s="41"/>
      <c r="EH186" s="41"/>
      <c r="EI186" s="41"/>
      <c r="EJ186" s="41"/>
      <c r="EK186" s="41"/>
      <c r="EL186" s="41"/>
      <c r="EM186" s="41"/>
      <c r="EN186" s="41"/>
      <c r="EO186" s="41"/>
      <c r="EP186" s="41"/>
      <c r="EQ186" s="41"/>
      <c r="ER186" s="41"/>
      <c r="ES186" s="41"/>
      <c r="ET186" s="41"/>
      <c r="EU186" s="41"/>
      <c r="EV186" s="41"/>
      <c r="EW186" s="41"/>
      <c r="EX186" s="41"/>
      <c r="EY186" s="41"/>
      <c r="EZ186" s="41"/>
      <c r="FA186" s="41"/>
      <c r="FB186" s="41"/>
      <c r="FC186" s="41"/>
      <c r="FD186" s="41"/>
      <c r="FE186" s="41"/>
      <c r="FF186" s="41"/>
      <c r="FG186" s="41"/>
      <c r="FH186" s="41"/>
      <c r="FI186" s="41"/>
      <c r="FJ186" s="41"/>
      <c r="FK186" s="41"/>
      <c r="FL186" s="41"/>
      <c r="FM186" s="41"/>
      <c r="FN186" s="41"/>
      <c r="FO186" s="41"/>
      <c r="FP186" s="41"/>
      <c r="FQ186" s="41"/>
      <c r="FR186" s="41"/>
      <c r="FS186" s="41"/>
      <c r="FT186" s="41"/>
      <c r="FU186" s="41"/>
    </row>
    <row r="187" spans="1:177" s="6" customFormat="1" ht="15" x14ac:dyDescent="0.2">
      <c r="A187" s="157"/>
      <c r="B187" s="158" t="s">
        <v>225</v>
      </c>
      <c r="C187" s="56"/>
      <c r="D187" s="56"/>
      <c r="E187" s="56"/>
      <c r="F187" s="146">
        <f t="shared" si="33"/>
        <v>0</v>
      </c>
      <c r="G187" s="146">
        <f t="shared" si="33"/>
        <v>0</v>
      </c>
      <c r="H187" s="146">
        <f t="shared" si="33"/>
        <v>0</v>
      </c>
      <c r="I187" s="146">
        <f t="shared" si="33"/>
        <v>0</v>
      </c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 s="41"/>
      <c r="AL187" s="41"/>
      <c r="AM187" s="41"/>
      <c r="AN187" s="41"/>
      <c r="AO187" s="41"/>
      <c r="AP187" s="41"/>
      <c r="AQ187" s="41"/>
      <c r="AR187" s="41"/>
      <c r="AS187" s="41"/>
      <c r="AT187" s="41"/>
      <c r="AU187" s="41"/>
      <c r="AV187" s="41"/>
      <c r="AW187" s="41"/>
      <c r="AX187" s="41"/>
      <c r="AY187" s="41"/>
      <c r="AZ187" s="41"/>
      <c r="BA187" s="41"/>
      <c r="BB187" s="41"/>
      <c r="BC187" s="41"/>
      <c r="BD187" s="41"/>
      <c r="BE187" s="41"/>
      <c r="BF187" s="41"/>
      <c r="BG187" s="41"/>
      <c r="BH187" s="41"/>
      <c r="BI187" s="41"/>
      <c r="BJ187" s="41"/>
      <c r="BK187" s="41"/>
      <c r="BL187" s="41"/>
      <c r="BM187" s="41"/>
      <c r="BN187" s="41"/>
      <c r="BO187" s="41"/>
      <c r="BP187" s="41"/>
      <c r="BQ187" s="41"/>
      <c r="BR187" s="41"/>
      <c r="BS187" s="41"/>
      <c r="BT187" s="41"/>
      <c r="BU187" s="41"/>
      <c r="BV187" s="41"/>
      <c r="BW187" s="41"/>
      <c r="BX187" s="41"/>
      <c r="BY187" s="41"/>
      <c r="BZ187" s="41"/>
      <c r="CA187" s="41"/>
      <c r="CB187" s="41"/>
      <c r="CC187" s="41"/>
      <c r="CD187" s="41"/>
      <c r="CE187" s="41"/>
      <c r="CF187" s="41"/>
      <c r="CG187" s="41"/>
      <c r="CH187" s="41"/>
      <c r="CI187" s="41"/>
      <c r="CJ187" s="41"/>
      <c r="CK187" s="41"/>
      <c r="CL187" s="41"/>
      <c r="CM187" s="41"/>
      <c r="CN187" s="41"/>
      <c r="CO187" s="41"/>
      <c r="CP187" s="41"/>
      <c r="CQ187" s="41"/>
      <c r="CR187" s="41"/>
      <c r="CS187" s="41"/>
      <c r="CT187" s="41"/>
      <c r="CU187" s="41"/>
      <c r="CV187" s="41"/>
      <c r="CW187" s="41"/>
      <c r="CX187" s="41"/>
      <c r="CY187" s="41"/>
      <c r="CZ187" s="41"/>
      <c r="DA187" s="41"/>
      <c r="DB187" s="41"/>
      <c r="DC187" s="41"/>
      <c r="DD187" s="41"/>
      <c r="DE187" s="41"/>
      <c r="DF187" s="41"/>
      <c r="DG187" s="41"/>
      <c r="DH187" s="41"/>
      <c r="DI187" s="41"/>
      <c r="DJ187" s="41"/>
      <c r="DK187" s="41"/>
      <c r="DL187" s="41"/>
      <c r="DM187" s="41"/>
      <c r="DN187" s="41"/>
      <c r="DO187" s="41"/>
      <c r="DP187" s="41"/>
      <c r="DQ187" s="41"/>
      <c r="DR187" s="41"/>
      <c r="DS187" s="41"/>
      <c r="DT187" s="41"/>
      <c r="DU187" s="41"/>
      <c r="DV187" s="41"/>
      <c r="DW187" s="41"/>
      <c r="DX187" s="41"/>
      <c r="DY187" s="41"/>
      <c r="DZ187" s="41"/>
      <c r="EA187" s="41"/>
      <c r="EB187" s="41"/>
      <c r="EC187" s="41"/>
      <c r="ED187" s="41"/>
      <c r="EE187" s="41"/>
      <c r="EF187" s="41"/>
      <c r="EG187" s="41"/>
      <c r="EH187" s="41"/>
      <c r="EI187" s="41"/>
      <c r="EJ187" s="41"/>
      <c r="EK187" s="41"/>
      <c r="EL187" s="41"/>
      <c r="EM187" s="41"/>
      <c r="EN187" s="41"/>
      <c r="EO187" s="41"/>
      <c r="EP187" s="41"/>
      <c r="EQ187" s="41"/>
      <c r="ER187" s="41"/>
      <c r="ES187" s="41"/>
      <c r="ET187" s="41"/>
      <c r="EU187" s="41"/>
      <c r="EV187" s="41"/>
      <c r="EW187" s="41"/>
      <c r="EX187" s="41"/>
      <c r="EY187" s="41"/>
      <c r="EZ187" s="41"/>
      <c r="FA187" s="41"/>
      <c r="FB187" s="41"/>
      <c r="FC187" s="41"/>
      <c r="FD187" s="41"/>
      <c r="FE187" s="41"/>
      <c r="FF187" s="41"/>
      <c r="FG187" s="41"/>
      <c r="FH187" s="41"/>
      <c r="FI187" s="41"/>
      <c r="FJ187" s="41"/>
      <c r="FK187" s="41"/>
      <c r="FL187" s="41"/>
      <c r="FM187" s="41"/>
      <c r="FN187" s="41"/>
      <c r="FO187" s="41"/>
      <c r="FP187" s="41"/>
      <c r="FQ187" s="41"/>
      <c r="FR187" s="41"/>
      <c r="FS187" s="41"/>
      <c r="FT187" s="41"/>
      <c r="FU187" s="41"/>
    </row>
    <row r="188" spans="1:177" s="6" customFormat="1" ht="15" x14ac:dyDescent="0.2">
      <c r="A188" s="157"/>
      <c r="B188" s="158" t="s">
        <v>226</v>
      </c>
      <c r="C188" s="56"/>
      <c r="D188" s="56"/>
      <c r="E188" s="56"/>
      <c r="F188" s="146">
        <f t="shared" si="33"/>
        <v>0</v>
      </c>
      <c r="G188" s="146">
        <f t="shared" si="33"/>
        <v>0</v>
      </c>
      <c r="H188" s="146">
        <f t="shared" si="33"/>
        <v>0</v>
      </c>
      <c r="I188" s="146">
        <f t="shared" si="33"/>
        <v>0</v>
      </c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 s="41"/>
      <c r="AL188" s="41"/>
      <c r="AM188" s="41"/>
      <c r="AN188" s="41"/>
      <c r="AO188" s="41"/>
      <c r="AP188" s="41"/>
      <c r="AQ188" s="41"/>
      <c r="AR188" s="41"/>
      <c r="AS188" s="41"/>
      <c r="AT188" s="41"/>
      <c r="AU188" s="41"/>
      <c r="AV188" s="41"/>
      <c r="AW188" s="41"/>
      <c r="AX188" s="41"/>
      <c r="AY188" s="41"/>
      <c r="AZ188" s="41"/>
      <c r="BA188" s="41"/>
      <c r="BB188" s="41"/>
      <c r="BC188" s="41"/>
      <c r="BD188" s="41"/>
      <c r="BE188" s="41"/>
      <c r="BF188" s="41"/>
      <c r="BG188" s="41"/>
      <c r="BH188" s="41"/>
      <c r="BI188" s="41"/>
      <c r="BJ188" s="41"/>
      <c r="BK188" s="41"/>
      <c r="BL188" s="41"/>
      <c r="BM188" s="41"/>
      <c r="BN188" s="41"/>
      <c r="BO188" s="41"/>
      <c r="BP188" s="41"/>
      <c r="BQ188" s="41"/>
      <c r="BR188" s="41"/>
      <c r="BS188" s="41"/>
      <c r="BT188" s="41"/>
      <c r="BU188" s="41"/>
      <c r="BV188" s="41"/>
      <c r="BW188" s="41"/>
      <c r="BX188" s="41"/>
      <c r="BY188" s="41"/>
      <c r="BZ188" s="41"/>
      <c r="CA188" s="41"/>
      <c r="CB188" s="41"/>
      <c r="CC188" s="41"/>
      <c r="CD188" s="41"/>
      <c r="CE188" s="41"/>
      <c r="CF188" s="41"/>
      <c r="CG188" s="41"/>
      <c r="CH188" s="41"/>
      <c r="CI188" s="41"/>
      <c r="CJ188" s="41"/>
      <c r="CK188" s="41"/>
      <c r="CL188" s="41"/>
      <c r="CM188" s="41"/>
      <c r="CN188" s="41"/>
      <c r="CO188" s="41"/>
      <c r="CP188" s="41"/>
      <c r="CQ188" s="41"/>
      <c r="CR188" s="41"/>
      <c r="CS188" s="41"/>
      <c r="CT188" s="41"/>
      <c r="CU188" s="41"/>
      <c r="CV188" s="41"/>
      <c r="CW188" s="41"/>
      <c r="CX188" s="41"/>
      <c r="CY188" s="41"/>
      <c r="CZ188" s="41"/>
      <c r="DA188" s="41"/>
      <c r="DB188" s="41"/>
      <c r="DC188" s="41"/>
      <c r="DD188" s="41"/>
      <c r="DE188" s="41"/>
      <c r="DF188" s="41"/>
      <c r="DG188" s="41"/>
      <c r="DH188" s="41"/>
      <c r="DI188" s="41"/>
      <c r="DJ188" s="41"/>
      <c r="DK188" s="41"/>
      <c r="DL188" s="41"/>
      <c r="DM188" s="41"/>
      <c r="DN188" s="41"/>
      <c r="DO188" s="41"/>
      <c r="DP188" s="41"/>
      <c r="DQ188" s="41"/>
      <c r="DR188" s="41"/>
      <c r="DS188" s="41"/>
      <c r="DT188" s="41"/>
      <c r="DU188" s="41"/>
      <c r="DV188" s="41"/>
      <c r="DW188" s="41"/>
      <c r="DX188" s="41"/>
      <c r="DY188" s="41"/>
      <c r="DZ188" s="41"/>
      <c r="EA188" s="41"/>
      <c r="EB188" s="41"/>
      <c r="EC188" s="41"/>
      <c r="ED188" s="41"/>
      <c r="EE188" s="41"/>
      <c r="EF188" s="41"/>
      <c r="EG188" s="41"/>
      <c r="EH188" s="41"/>
      <c r="EI188" s="41"/>
      <c r="EJ188" s="41"/>
      <c r="EK188" s="41"/>
      <c r="EL188" s="41"/>
      <c r="EM188" s="41"/>
      <c r="EN188" s="41"/>
      <c r="EO188" s="41"/>
      <c r="EP188" s="41"/>
      <c r="EQ188" s="41"/>
      <c r="ER188" s="41"/>
      <c r="ES188" s="41"/>
      <c r="ET188" s="41"/>
      <c r="EU188" s="41"/>
      <c r="EV188" s="41"/>
      <c r="EW188" s="41"/>
      <c r="EX188" s="41"/>
      <c r="EY188" s="41"/>
      <c r="EZ188" s="41"/>
      <c r="FA188" s="41"/>
      <c r="FB188" s="41"/>
      <c r="FC188" s="41"/>
      <c r="FD188" s="41"/>
      <c r="FE188" s="41"/>
      <c r="FF188" s="41"/>
      <c r="FG188" s="41"/>
      <c r="FH188" s="41"/>
      <c r="FI188" s="41"/>
      <c r="FJ188" s="41"/>
      <c r="FK188" s="41"/>
      <c r="FL188" s="41"/>
      <c r="FM188" s="41"/>
      <c r="FN188" s="41"/>
      <c r="FO188" s="41"/>
      <c r="FP188" s="41"/>
      <c r="FQ188" s="41"/>
      <c r="FR188" s="41"/>
      <c r="FS188" s="41"/>
      <c r="FT188" s="41"/>
      <c r="FU188" s="41"/>
    </row>
    <row r="189" spans="1:177" s="6" customFormat="1" ht="15" x14ac:dyDescent="0.2">
      <c r="A189" s="157"/>
      <c r="B189" s="158" t="s">
        <v>227</v>
      </c>
      <c r="C189" s="56"/>
      <c r="D189" s="56"/>
      <c r="E189" s="56"/>
      <c r="F189" s="146">
        <f t="shared" si="33"/>
        <v>0</v>
      </c>
      <c r="G189" s="146">
        <f t="shared" si="33"/>
        <v>0</v>
      </c>
      <c r="H189" s="146">
        <f t="shared" si="33"/>
        <v>0</v>
      </c>
      <c r="I189" s="146">
        <f t="shared" si="33"/>
        <v>0</v>
      </c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 s="41"/>
      <c r="AL189" s="41"/>
      <c r="AM189" s="41"/>
      <c r="AN189" s="41"/>
      <c r="AO189" s="41"/>
      <c r="AP189" s="41"/>
      <c r="AQ189" s="41"/>
      <c r="AR189" s="41"/>
      <c r="AS189" s="41"/>
      <c r="AT189" s="41"/>
      <c r="AU189" s="41"/>
      <c r="AV189" s="41"/>
      <c r="AW189" s="41"/>
      <c r="AX189" s="41"/>
      <c r="AY189" s="41"/>
      <c r="AZ189" s="41"/>
      <c r="BA189" s="41"/>
      <c r="BB189" s="41"/>
      <c r="BC189" s="41"/>
      <c r="BD189" s="41"/>
      <c r="BE189" s="41"/>
      <c r="BF189" s="41"/>
      <c r="BG189" s="41"/>
      <c r="BH189" s="41"/>
      <c r="BI189" s="41"/>
      <c r="BJ189" s="41"/>
      <c r="BK189" s="41"/>
      <c r="BL189" s="41"/>
      <c r="BM189" s="41"/>
      <c r="BN189" s="41"/>
      <c r="BO189" s="41"/>
      <c r="BP189" s="41"/>
      <c r="BQ189" s="41"/>
      <c r="BR189" s="41"/>
      <c r="BS189" s="41"/>
      <c r="BT189" s="41"/>
      <c r="BU189" s="41"/>
      <c r="BV189" s="41"/>
      <c r="BW189" s="41"/>
      <c r="BX189" s="41"/>
      <c r="BY189" s="41"/>
      <c r="BZ189" s="41"/>
      <c r="CA189" s="41"/>
      <c r="CB189" s="41"/>
      <c r="CC189" s="41"/>
      <c r="CD189" s="41"/>
      <c r="CE189" s="41"/>
      <c r="CF189" s="41"/>
      <c r="CG189" s="41"/>
      <c r="CH189" s="41"/>
      <c r="CI189" s="41"/>
      <c r="CJ189" s="41"/>
      <c r="CK189" s="41"/>
      <c r="CL189" s="41"/>
      <c r="CM189" s="41"/>
      <c r="CN189" s="41"/>
      <c r="CO189" s="41"/>
      <c r="CP189" s="41"/>
      <c r="CQ189" s="41"/>
      <c r="CR189" s="41"/>
      <c r="CS189" s="41"/>
      <c r="CT189" s="41"/>
      <c r="CU189" s="41"/>
      <c r="CV189" s="41"/>
      <c r="CW189" s="41"/>
      <c r="CX189" s="41"/>
      <c r="CY189" s="41"/>
      <c r="CZ189" s="41"/>
      <c r="DA189" s="41"/>
      <c r="DB189" s="41"/>
      <c r="DC189" s="41"/>
      <c r="DD189" s="41"/>
      <c r="DE189" s="41"/>
      <c r="DF189" s="41"/>
      <c r="DG189" s="41"/>
      <c r="DH189" s="41"/>
      <c r="DI189" s="41"/>
      <c r="DJ189" s="41"/>
      <c r="DK189" s="41"/>
      <c r="DL189" s="41"/>
      <c r="DM189" s="41"/>
      <c r="DN189" s="41"/>
      <c r="DO189" s="41"/>
      <c r="DP189" s="41"/>
      <c r="DQ189" s="41"/>
      <c r="DR189" s="41"/>
      <c r="DS189" s="41"/>
      <c r="DT189" s="41"/>
      <c r="DU189" s="41"/>
      <c r="DV189" s="41"/>
      <c r="DW189" s="41"/>
      <c r="DX189" s="41"/>
      <c r="DY189" s="41"/>
      <c r="DZ189" s="41"/>
      <c r="EA189" s="41"/>
      <c r="EB189" s="41"/>
      <c r="EC189" s="41"/>
      <c r="ED189" s="41"/>
      <c r="EE189" s="41"/>
      <c r="EF189" s="41"/>
      <c r="EG189" s="41"/>
      <c r="EH189" s="41"/>
      <c r="EI189" s="41"/>
      <c r="EJ189" s="41"/>
      <c r="EK189" s="41"/>
      <c r="EL189" s="41"/>
      <c r="EM189" s="41"/>
      <c r="EN189" s="41"/>
      <c r="EO189" s="41"/>
      <c r="EP189" s="41"/>
      <c r="EQ189" s="41"/>
      <c r="ER189" s="41"/>
      <c r="ES189" s="41"/>
      <c r="ET189" s="41"/>
      <c r="EU189" s="41"/>
      <c r="EV189" s="41"/>
      <c r="EW189" s="41"/>
      <c r="EX189" s="41"/>
      <c r="EY189" s="41"/>
      <c r="EZ189" s="41"/>
      <c r="FA189" s="41"/>
      <c r="FB189" s="41"/>
      <c r="FC189" s="41"/>
      <c r="FD189" s="41"/>
      <c r="FE189" s="41"/>
      <c r="FF189" s="41"/>
      <c r="FG189" s="41"/>
      <c r="FH189" s="41"/>
      <c r="FI189" s="41"/>
      <c r="FJ189" s="41"/>
      <c r="FK189" s="41"/>
      <c r="FL189" s="41"/>
      <c r="FM189" s="41"/>
      <c r="FN189" s="41"/>
      <c r="FO189" s="41"/>
      <c r="FP189" s="41"/>
      <c r="FQ189" s="41"/>
      <c r="FR189" s="41"/>
      <c r="FS189" s="41"/>
      <c r="FT189" s="41"/>
      <c r="FU189" s="41"/>
    </row>
    <row r="190" spans="1:177" s="6" customFormat="1" ht="15" x14ac:dyDescent="0.2">
      <c r="A190" s="157"/>
      <c r="B190" s="158" t="s">
        <v>228</v>
      </c>
      <c r="C190" s="56"/>
      <c r="D190" s="56"/>
      <c r="E190" s="56"/>
      <c r="F190" s="146">
        <f t="shared" si="33"/>
        <v>0</v>
      </c>
      <c r="G190" s="146">
        <f t="shared" si="33"/>
        <v>0</v>
      </c>
      <c r="H190" s="146">
        <f t="shared" si="33"/>
        <v>0</v>
      </c>
      <c r="I190" s="146">
        <f t="shared" si="33"/>
        <v>0</v>
      </c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 s="41"/>
      <c r="AL190" s="41"/>
      <c r="AM190" s="41"/>
      <c r="AN190" s="41"/>
      <c r="AO190" s="41"/>
      <c r="AP190" s="41"/>
      <c r="AQ190" s="41"/>
      <c r="AR190" s="41"/>
      <c r="AS190" s="41"/>
      <c r="AT190" s="41"/>
      <c r="AU190" s="41"/>
      <c r="AV190" s="41"/>
      <c r="AW190" s="41"/>
      <c r="AX190" s="41"/>
      <c r="AY190" s="41"/>
      <c r="AZ190" s="41"/>
      <c r="BA190" s="41"/>
      <c r="BB190" s="41"/>
      <c r="BC190" s="41"/>
      <c r="BD190" s="41"/>
      <c r="BE190" s="41"/>
      <c r="BF190" s="41"/>
      <c r="BG190" s="41"/>
      <c r="BH190" s="41"/>
      <c r="BI190" s="41"/>
      <c r="BJ190" s="41"/>
      <c r="BK190" s="41"/>
      <c r="BL190" s="41"/>
      <c r="BM190" s="41"/>
      <c r="BN190" s="41"/>
      <c r="BO190" s="41"/>
      <c r="BP190" s="41"/>
      <c r="BQ190" s="41"/>
      <c r="BR190" s="41"/>
      <c r="BS190" s="41"/>
      <c r="BT190" s="41"/>
      <c r="BU190" s="41"/>
      <c r="BV190" s="41"/>
      <c r="BW190" s="41"/>
      <c r="BX190" s="41"/>
      <c r="BY190" s="41"/>
      <c r="BZ190" s="41"/>
      <c r="CA190" s="41"/>
      <c r="CB190" s="41"/>
      <c r="CC190" s="41"/>
      <c r="CD190" s="41"/>
      <c r="CE190" s="41"/>
      <c r="CF190" s="41"/>
      <c r="CG190" s="41"/>
      <c r="CH190" s="41"/>
      <c r="CI190" s="41"/>
      <c r="CJ190" s="41"/>
      <c r="CK190" s="41"/>
      <c r="CL190" s="41"/>
      <c r="CM190" s="41"/>
      <c r="CN190" s="41"/>
      <c r="CO190" s="41"/>
      <c r="CP190" s="41"/>
      <c r="CQ190" s="41"/>
      <c r="CR190" s="41"/>
      <c r="CS190" s="41"/>
      <c r="CT190" s="41"/>
      <c r="CU190" s="41"/>
      <c r="CV190" s="41"/>
      <c r="CW190" s="41"/>
      <c r="CX190" s="41"/>
      <c r="CY190" s="41"/>
      <c r="CZ190" s="41"/>
      <c r="DA190" s="41"/>
      <c r="DB190" s="41"/>
      <c r="DC190" s="41"/>
      <c r="DD190" s="41"/>
      <c r="DE190" s="41"/>
      <c r="DF190" s="41"/>
      <c r="DG190" s="41"/>
      <c r="DH190" s="41"/>
      <c r="DI190" s="41"/>
      <c r="DJ190" s="41"/>
      <c r="DK190" s="41"/>
      <c r="DL190" s="41"/>
      <c r="DM190" s="41"/>
      <c r="DN190" s="41"/>
      <c r="DO190" s="41"/>
      <c r="DP190" s="41"/>
      <c r="DQ190" s="41"/>
      <c r="DR190" s="41"/>
      <c r="DS190" s="41"/>
      <c r="DT190" s="41"/>
      <c r="DU190" s="41"/>
      <c r="DV190" s="41"/>
      <c r="DW190" s="41"/>
      <c r="DX190" s="41"/>
      <c r="DY190" s="41"/>
      <c r="DZ190" s="41"/>
      <c r="EA190" s="41"/>
      <c r="EB190" s="41"/>
      <c r="EC190" s="41"/>
      <c r="ED190" s="41"/>
      <c r="EE190" s="41"/>
      <c r="EF190" s="41"/>
      <c r="EG190" s="41"/>
      <c r="EH190" s="41"/>
      <c r="EI190" s="41"/>
      <c r="EJ190" s="41"/>
      <c r="EK190" s="41"/>
      <c r="EL190" s="41"/>
      <c r="EM190" s="41"/>
      <c r="EN190" s="41"/>
      <c r="EO190" s="41"/>
      <c r="EP190" s="41"/>
      <c r="EQ190" s="41"/>
      <c r="ER190" s="41"/>
      <c r="ES190" s="41"/>
      <c r="ET190" s="41"/>
      <c r="EU190" s="41"/>
      <c r="EV190" s="41"/>
      <c r="EW190" s="41"/>
      <c r="EX190" s="41"/>
      <c r="EY190" s="41"/>
      <c r="EZ190" s="41"/>
      <c r="FA190" s="41"/>
      <c r="FB190" s="41"/>
      <c r="FC190" s="41"/>
      <c r="FD190" s="41"/>
      <c r="FE190" s="41"/>
      <c r="FF190" s="41"/>
      <c r="FG190" s="41"/>
      <c r="FH190" s="41"/>
      <c r="FI190" s="41"/>
      <c r="FJ190" s="41"/>
      <c r="FK190" s="41"/>
      <c r="FL190" s="41"/>
      <c r="FM190" s="41"/>
      <c r="FN190" s="41"/>
      <c r="FO190" s="41"/>
      <c r="FP190" s="41"/>
      <c r="FQ190" s="41"/>
      <c r="FR190" s="41"/>
      <c r="FS190" s="41"/>
      <c r="FT190" s="41"/>
      <c r="FU190" s="41"/>
    </row>
    <row r="191" spans="1:177" s="7" customFormat="1" ht="29.25" customHeight="1" thickBot="1" x14ac:dyDescent="0.3">
      <c r="A191" s="159"/>
      <c r="B191" s="160" t="s">
        <v>229</v>
      </c>
      <c r="C191" s="162">
        <f t="shared" ref="C191:I191" si="34">C128+C135+C142+C149+C156+C163+C170+C177+C184</f>
        <v>12591840.250000002</v>
      </c>
      <c r="D191" s="162">
        <f t="shared" si="34"/>
        <v>13146968.32</v>
      </c>
      <c r="E191" s="162">
        <f t="shared" si="34"/>
        <v>14481057.832199998</v>
      </c>
      <c r="F191" s="162">
        <f t="shared" si="34"/>
        <v>15645290.602547053</v>
      </c>
      <c r="G191" s="162">
        <f t="shared" si="34"/>
        <v>16772801.965813842</v>
      </c>
      <c r="H191" s="162">
        <f t="shared" si="34"/>
        <v>17652537.948571444</v>
      </c>
      <c r="I191" s="162">
        <f t="shared" si="34"/>
        <v>18843111.989164036</v>
      </c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 s="43"/>
      <c r="AL191" s="43"/>
      <c r="AM191" s="43"/>
      <c r="AN191" s="43"/>
      <c r="AO191" s="43"/>
      <c r="AP191" s="43"/>
      <c r="AQ191" s="43"/>
      <c r="AR191" s="43"/>
      <c r="AS191" s="43"/>
      <c r="AT191" s="43"/>
      <c r="AU191" s="43"/>
      <c r="AV191" s="43"/>
      <c r="AW191" s="43"/>
      <c r="AX191" s="43"/>
      <c r="AY191" s="43"/>
      <c r="AZ191" s="43"/>
      <c r="BA191" s="43"/>
      <c r="BB191" s="43"/>
      <c r="BC191" s="43"/>
      <c r="BD191" s="43"/>
      <c r="BE191" s="43"/>
      <c r="BF191" s="43"/>
      <c r="BG191" s="43"/>
      <c r="BH191" s="43"/>
      <c r="BI191" s="43"/>
      <c r="BJ191" s="43"/>
      <c r="BK191" s="43"/>
      <c r="BL191" s="43"/>
      <c r="BM191" s="43"/>
      <c r="BN191" s="43"/>
      <c r="BO191" s="43"/>
      <c r="BP191" s="43"/>
      <c r="BQ191" s="43"/>
      <c r="BR191" s="43"/>
      <c r="BS191" s="43"/>
      <c r="BT191" s="43"/>
      <c r="BU191" s="43"/>
      <c r="BV191" s="43"/>
      <c r="BW191" s="43"/>
      <c r="BX191" s="43"/>
      <c r="BY191" s="43"/>
      <c r="BZ191" s="43"/>
      <c r="CA191" s="43"/>
      <c r="CB191" s="43"/>
      <c r="CC191" s="43"/>
      <c r="CD191" s="43"/>
      <c r="CE191" s="43"/>
      <c r="CF191" s="43"/>
      <c r="CG191" s="43"/>
      <c r="CH191" s="43"/>
      <c r="CI191" s="43"/>
      <c r="CJ191" s="43"/>
      <c r="CK191" s="43"/>
      <c r="CL191" s="43"/>
      <c r="CM191" s="43"/>
      <c r="CN191" s="43"/>
      <c r="CO191" s="43"/>
      <c r="CP191" s="43"/>
      <c r="CQ191" s="43"/>
      <c r="CR191" s="43"/>
      <c r="CS191" s="43"/>
      <c r="CT191" s="43"/>
      <c r="CU191" s="43"/>
      <c r="CV191" s="43"/>
      <c r="CW191" s="43"/>
      <c r="CX191" s="43"/>
      <c r="CY191" s="43"/>
      <c r="CZ191" s="43"/>
      <c r="DA191" s="43"/>
      <c r="DB191" s="43"/>
      <c r="DC191" s="43"/>
      <c r="DD191" s="43"/>
      <c r="DE191" s="43"/>
      <c r="DF191" s="43"/>
      <c r="DG191" s="43"/>
      <c r="DH191" s="43"/>
      <c r="DI191" s="43"/>
      <c r="DJ191" s="43"/>
      <c r="DK191" s="43"/>
      <c r="DL191" s="43"/>
      <c r="DM191" s="43"/>
      <c r="DN191" s="43"/>
      <c r="DO191" s="43"/>
      <c r="DP191" s="43"/>
      <c r="DQ191" s="43"/>
      <c r="DR191" s="43"/>
      <c r="DS191" s="43"/>
      <c r="DT191" s="43"/>
      <c r="DU191" s="43"/>
      <c r="DV191" s="43"/>
      <c r="DW191" s="43"/>
      <c r="DX191" s="43"/>
      <c r="DY191" s="43"/>
      <c r="DZ191" s="43"/>
      <c r="EA191" s="43"/>
      <c r="EB191" s="43"/>
      <c r="EC191" s="43"/>
      <c r="ED191" s="43"/>
      <c r="EE191" s="43"/>
      <c r="EF191" s="43"/>
      <c r="EG191" s="43"/>
      <c r="EH191" s="43"/>
      <c r="EI191" s="43"/>
      <c r="EJ191" s="43"/>
      <c r="EK191" s="43"/>
      <c r="EL191" s="43"/>
      <c r="EM191" s="43"/>
      <c r="EN191" s="43"/>
      <c r="EO191" s="43"/>
      <c r="EP191" s="43"/>
      <c r="EQ191" s="43"/>
      <c r="ER191" s="43"/>
      <c r="ES191" s="43"/>
      <c r="ET191" s="43"/>
      <c r="EU191" s="43"/>
      <c r="EV191" s="43"/>
      <c r="EW191" s="43"/>
      <c r="EX191" s="43"/>
      <c r="EY191" s="43"/>
      <c r="EZ191" s="43"/>
      <c r="FA191" s="43"/>
      <c r="FB191" s="43"/>
      <c r="FC191" s="43"/>
      <c r="FD191" s="43"/>
      <c r="FE191" s="43"/>
      <c r="FF191" s="43"/>
      <c r="FG191" s="43"/>
      <c r="FH191" s="43"/>
      <c r="FI191" s="43"/>
      <c r="FJ191" s="43"/>
      <c r="FK191" s="43"/>
      <c r="FL191" s="43"/>
      <c r="FM191" s="43"/>
      <c r="FN191" s="43"/>
      <c r="FO191" s="43"/>
      <c r="FP191" s="43"/>
      <c r="FQ191" s="43"/>
      <c r="FR191" s="43"/>
      <c r="FS191" s="43"/>
      <c r="FT191" s="43"/>
      <c r="FU191" s="43"/>
    </row>
    <row r="192" spans="1:177" s="1" customFormat="1" ht="17.45" hidden="1" customHeight="1" x14ac:dyDescent="0.25">
      <c r="A192" s="15"/>
      <c r="B192" s="19" t="s">
        <v>26</v>
      </c>
      <c r="C192" s="37"/>
      <c r="D192" s="38"/>
      <c r="E192" s="38"/>
      <c r="F192" s="38"/>
      <c r="G192" s="38"/>
      <c r="H192" s="38"/>
      <c r="I192" s="38"/>
    </row>
    <row r="193" spans="1:9" s="1" customFormat="1" ht="17.45" hidden="1" customHeight="1" x14ac:dyDescent="0.25">
      <c r="A193" s="16"/>
      <c r="B193" s="17" t="s">
        <v>2</v>
      </c>
      <c r="C193" s="18" t="s">
        <v>4</v>
      </c>
      <c r="D193" s="18" t="e">
        <f>IF(#REF!&gt;0,"REALIZADO","PROJETADO")</f>
        <v>#REF!</v>
      </c>
      <c r="E193" s="18" t="e">
        <f>IF(#REF!&gt;0,"REALIZADO","PROJETADO")</f>
        <v>#REF!</v>
      </c>
      <c r="F193" s="18" t="e">
        <f>IF(#REF!&gt;0,"REALIZADO","PROJETADO")</f>
        <v>#REF!</v>
      </c>
      <c r="G193" s="18" t="s">
        <v>5</v>
      </c>
      <c r="H193" s="18"/>
      <c r="I193" s="18" t="s">
        <v>5</v>
      </c>
    </row>
    <row r="194" spans="1:9" s="1" customFormat="1" ht="17.25" hidden="1" customHeight="1" x14ac:dyDescent="0.25">
      <c r="A194" s="16"/>
      <c r="B194" s="39" t="s">
        <v>1</v>
      </c>
      <c r="C194" s="40">
        <v>1999</v>
      </c>
      <c r="D194" s="40">
        <v>2000</v>
      </c>
      <c r="E194" s="40">
        <v>2001</v>
      </c>
      <c r="F194" s="40">
        <v>2002</v>
      </c>
      <c r="G194" s="40">
        <v>2003</v>
      </c>
      <c r="H194" s="40"/>
      <c r="I194" s="40">
        <v>2004</v>
      </c>
    </row>
    <row r="195" spans="1:9" s="1" customFormat="1" ht="17.45" hidden="1" customHeight="1" x14ac:dyDescent="0.25">
      <c r="A195" s="16"/>
      <c r="B195" s="19"/>
      <c r="C195" s="20"/>
      <c r="D195" s="20"/>
      <c r="E195" s="20"/>
      <c r="F195" s="20"/>
      <c r="G195" s="20"/>
      <c r="H195" s="20"/>
      <c r="I195" s="20"/>
    </row>
    <row r="196" spans="1:9" s="1" customFormat="1" ht="16.5" hidden="1" thickBot="1" x14ac:dyDescent="0.3">
      <c r="A196" s="16"/>
      <c r="B196" s="19" t="s">
        <v>6</v>
      </c>
      <c r="C196" s="21" t="e">
        <f>C8-#REF!-C11+C200-#REF!</f>
        <v>#REF!</v>
      </c>
      <c r="D196" s="21" t="e">
        <f>D8-#REF!-D11+D200-#REF!</f>
        <v>#REF!</v>
      </c>
      <c r="E196" s="21" t="e">
        <f>E8-#REF!-E11+E200-#REF!</f>
        <v>#REF!</v>
      </c>
      <c r="F196" s="21" t="e">
        <f>F8-#REF!-F11+F200-#REF!</f>
        <v>#REF!</v>
      </c>
      <c r="G196" s="21" t="e">
        <f>G8-#REF!-G11+G200-#REF!</f>
        <v>#REF!</v>
      </c>
      <c r="H196" s="21"/>
      <c r="I196" s="21" t="e">
        <f>I8-#REF!-I11+I200-#REF!</f>
        <v>#REF!</v>
      </c>
    </row>
    <row r="197" spans="1:9" s="1" customFormat="1" ht="16.5" hidden="1" thickBot="1" x14ac:dyDescent="0.3">
      <c r="A197" s="16"/>
      <c r="B197" s="19" t="s">
        <v>7</v>
      </c>
      <c r="C197" s="21">
        <f>C9</f>
        <v>855176.63</v>
      </c>
      <c r="D197" s="21">
        <f>D9</f>
        <v>963517.13</v>
      </c>
      <c r="E197" s="21">
        <f>E9</f>
        <v>990000</v>
      </c>
      <c r="F197" s="21">
        <f>F9</f>
        <v>1108387.5322589867</v>
      </c>
      <c r="G197" s="21">
        <f>G9</f>
        <v>1187533.052387472</v>
      </c>
      <c r="H197" s="21"/>
      <c r="I197" s="21">
        <f>I9</f>
        <v>1358599.1163561677</v>
      </c>
    </row>
    <row r="198" spans="1:9" s="1" customFormat="1" ht="16.5" hidden="1" thickBot="1" x14ac:dyDescent="0.3">
      <c r="A198" s="16"/>
      <c r="B198" s="19" t="s">
        <v>8</v>
      </c>
      <c r="C198" s="21" t="e">
        <f>C16+#REF!+C17+#REF!+#REF!+#REF!+#REF!</f>
        <v>#REF!</v>
      </c>
      <c r="D198" s="21" t="e">
        <f>D16+#REF!+D17+#REF!+#REF!+#REF!+#REF!</f>
        <v>#REF!</v>
      </c>
      <c r="E198" s="21" t="e">
        <f>E16+#REF!+E17+#REF!+#REF!+#REF!+#REF!</f>
        <v>#REF!</v>
      </c>
      <c r="F198" s="21" t="e">
        <f>F16+#REF!+F17+#REF!+#REF!+#REF!+#REF!</f>
        <v>#REF!</v>
      </c>
      <c r="G198" s="21" t="e">
        <f>G16+#REF!+G17+#REF!+#REF!+#REF!+#REF!</f>
        <v>#REF!</v>
      </c>
      <c r="H198" s="21"/>
      <c r="I198" s="21" t="e">
        <f>I16+#REF!+I17+#REF!+#REF!+#REF!+#REF!</f>
        <v>#REF!</v>
      </c>
    </row>
    <row r="199" spans="1:9" s="1" customFormat="1" ht="16.5" hidden="1" thickBot="1" x14ac:dyDescent="0.3">
      <c r="A199" s="16"/>
      <c r="B199" s="19" t="s">
        <v>9</v>
      </c>
      <c r="C199" s="21" t="e">
        <f>#REF!</f>
        <v>#REF!</v>
      </c>
      <c r="D199" s="21" t="e">
        <f>#REF!</f>
        <v>#REF!</v>
      </c>
      <c r="E199" s="21" t="e">
        <f>#REF!</f>
        <v>#REF!</v>
      </c>
      <c r="F199" s="21" t="e">
        <f>#REF!</f>
        <v>#REF!</v>
      </c>
      <c r="G199" s="21" t="e">
        <f>#REF!</f>
        <v>#REF!</v>
      </c>
      <c r="H199" s="21"/>
      <c r="I199" s="21" t="e">
        <f>#REF!</f>
        <v>#REF!</v>
      </c>
    </row>
    <row r="200" spans="1:9" s="1" customFormat="1" ht="16.5" hidden="1" thickBot="1" x14ac:dyDescent="0.3">
      <c r="A200" s="16"/>
      <c r="B200" s="19" t="s">
        <v>10</v>
      </c>
      <c r="C200" s="21" t="e">
        <f>#REF!-#REF!</f>
        <v>#REF!</v>
      </c>
      <c r="D200" s="21" t="e">
        <f>#REF!-#REF!</f>
        <v>#REF!</v>
      </c>
      <c r="E200" s="21" t="e">
        <f>#REF!-#REF!</f>
        <v>#REF!</v>
      </c>
      <c r="F200" s="21" t="e">
        <f>#REF!-#REF!</f>
        <v>#REF!</v>
      </c>
      <c r="G200" s="21" t="e">
        <f>#REF!-#REF!</f>
        <v>#REF!</v>
      </c>
      <c r="H200" s="21"/>
      <c r="I200" s="21" t="e">
        <f>#REF!-#REF!</f>
        <v>#REF!</v>
      </c>
    </row>
    <row r="201" spans="1:9" s="1" customFormat="1" ht="16.5" hidden="1" thickBot="1" x14ac:dyDescent="0.3">
      <c r="A201" s="16"/>
      <c r="B201" s="19" t="s">
        <v>11</v>
      </c>
      <c r="C201" s="21" t="e">
        <f>#REF!</f>
        <v>#REF!</v>
      </c>
      <c r="D201" s="21" t="e">
        <f>#REF!</f>
        <v>#REF!</v>
      </c>
      <c r="E201" s="21" t="e">
        <f>#REF!</f>
        <v>#REF!</v>
      </c>
      <c r="F201" s="21" t="e">
        <f>#REF!</f>
        <v>#REF!</v>
      </c>
      <c r="G201" s="21" t="e">
        <f>#REF!</f>
        <v>#REF!</v>
      </c>
      <c r="H201" s="21"/>
      <c r="I201" s="21" t="e">
        <f>#REF!</f>
        <v>#REF!</v>
      </c>
    </row>
    <row r="202" spans="1:9" s="1" customFormat="1" ht="16.5" hidden="1" thickBot="1" x14ac:dyDescent="0.3">
      <c r="A202" s="16"/>
      <c r="B202" s="19" t="s">
        <v>12</v>
      </c>
      <c r="C202" s="21" t="e">
        <f>#REF!</f>
        <v>#REF!</v>
      </c>
      <c r="D202" s="21" t="e">
        <f>#REF!</f>
        <v>#REF!</v>
      </c>
      <c r="E202" s="21" t="e">
        <f>#REF!</f>
        <v>#REF!</v>
      </c>
      <c r="F202" s="21" t="e">
        <f>#REF!</f>
        <v>#REF!</v>
      </c>
      <c r="G202" s="21" t="e">
        <f>#REF!</f>
        <v>#REF!</v>
      </c>
      <c r="H202" s="21"/>
      <c r="I202" s="21" t="e">
        <f>#REF!</f>
        <v>#REF!</v>
      </c>
    </row>
    <row r="203" spans="1:9" s="1" customFormat="1" ht="16.5" hidden="1" thickBot="1" x14ac:dyDescent="0.3">
      <c r="A203" s="16"/>
      <c r="B203" s="19" t="s">
        <v>13</v>
      </c>
      <c r="C203" s="21" t="e">
        <f>#REF!</f>
        <v>#REF!</v>
      </c>
      <c r="D203" s="21" t="e">
        <f>#REF!</f>
        <v>#REF!</v>
      </c>
      <c r="E203" s="21" t="e">
        <f>#REF!</f>
        <v>#REF!</v>
      </c>
      <c r="F203" s="21" t="e">
        <f>#REF!</f>
        <v>#REF!</v>
      </c>
      <c r="G203" s="21" t="e">
        <f>#REF!</f>
        <v>#REF!</v>
      </c>
      <c r="H203" s="21"/>
      <c r="I203" s="21" t="e">
        <f>#REF!</f>
        <v>#REF!</v>
      </c>
    </row>
    <row r="204" spans="1:9" s="1" customFormat="1" ht="16.5" hidden="1" thickBot="1" x14ac:dyDescent="0.3">
      <c r="A204" s="16"/>
      <c r="B204" s="19" t="s">
        <v>14</v>
      </c>
      <c r="C204" s="21" t="e">
        <f>#REF!</f>
        <v>#REF!</v>
      </c>
      <c r="D204" s="21" t="e">
        <f>#REF!</f>
        <v>#REF!</v>
      </c>
      <c r="E204" s="21" t="e">
        <f>#REF!</f>
        <v>#REF!</v>
      </c>
      <c r="F204" s="21" t="e">
        <f>#REF!</f>
        <v>#REF!</v>
      </c>
      <c r="G204" s="21" t="e">
        <f>#REF!</f>
        <v>#REF!</v>
      </c>
      <c r="H204" s="21"/>
      <c r="I204" s="21" t="e">
        <f>#REF!</f>
        <v>#REF!</v>
      </c>
    </row>
    <row r="205" spans="1:9" s="1" customFormat="1" ht="16.5" hidden="1" thickBot="1" x14ac:dyDescent="0.3">
      <c r="A205" s="16"/>
      <c r="B205" s="19" t="s">
        <v>15</v>
      </c>
      <c r="C205" s="21" t="e">
        <f>#REF!+#REF!+#REF!+#REF!+C157+#REF!+#REF!+C191+C135+#REF!</f>
        <v>#REF!</v>
      </c>
      <c r="D205" s="21" t="e">
        <f>#REF!+#REF!+#REF!+#REF!+D157+#REF!+#REF!+D191+D135+#REF!</f>
        <v>#REF!</v>
      </c>
      <c r="E205" s="21" t="e">
        <f>#REF!+#REF!+#REF!+#REF!+E157+#REF!+#REF!+E191+E135+#REF!</f>
        <v>#REF!</v>
      </c>
      <c r="F205" s="21" t="e">
        <f>#REF!+#REF!+#REF!+#REF!+F157+#REF!+#REF!+F191+F135+#REF!</f>
        <v>#REF!</v>
      </c>
      <c r="G205" s="21" t="e">
        <f>#REF!+#REF!+#REF!+#REF!+G157+#REF!+#REF!+G191+G135+#REF!</f>
        <v>#REF!</v>
      </c>
      <c r="H205" s="21"/>
      <c r="I205" s="21" t="e">
        <f>#REF!+#REF!+#REF!+#REF!+I157+#REF!+#REF!+I191+I135+#REF!</f>
        <v>#REF!</v>
      </c>
    </row>
    <row r="206" spans="1:9" s="1" customFormat="1" ht="16.5" hidden="1" thickBot="1" x14ac:dyDescent="0.3">
      <c r="A206" s="16"/>
      <c r="B206" s="19" t="s">
        <v>16</v>
      </c>
      <c r="C206" s="21" t="e">
        <f>#REF!+#REF!</f>
        <v>#REF!</v>
      </c>
      <c r="D206" s="21" t="e">
        <f>#REF!+#REF!</f>
        <v>#REF!</v>
      </c>
      <c r="E206" s="21" t="e">
        <f>#REF!+#REF!</f>
        <v>#REF!</v>
      </c>
      <c r="F206" s="21" t="e">
        <f>#REF!+#REF!</f>
        <v>#REF!</v>
      </c>
      <c r="G206" s="21" t="e">
        <f>#REF!+#REF!</f>
        <v>#REF!</v>
      </c>
      <c r="H206" s="21"/>
      <c r="I206" s="21" t="e">
        <f>#REF!+#REF!</f>
        <v>#REF!</v>
      </c>
    </row>
    <row r="207" spans="1:9" s="1" customFormat="1" ht="16.5" hidden="1" thickBot="1" x14ac:dyDescent="0.3">
      <c r="A207" s="16"/>
      <c r="B207" s="19" t="s">
        <v>17</v>
      </c>
      <c r="C207" s="21" t="e">
        <f>#REF!+#REF!</f>
        <v>#REF!</v>
      </c>
      <c r="D207" s="21" t="e">
        <f>#REF!+#REF!</f>
        <v>#REF!</v>
      </c>
      <c r="E207" s="21" t="e">
        <f>#REF!+#REF!</f>
        <v>#REF!</v>
      </c>
      <c r="F207" s="21" t="e">
        <f>#REF!+#REF!</f>
        <v>#REF!</v>
      </c>
      <c r="G207" s="21" t="e">
        <f>#REF!+#REF!</f>
        <v>#REF!</v>
      </c>
      <c r="H207" s="21"/>
      <c r="I207" s="21" t="e">
        <f>#REF!+#REF!</f>
        <v>#REF!</v>
      </c>
    </row>
    <row r="208" spans="1:9" s="1" customFormat="1" ht="16.5" hidden="1" thickBot="1" x14ac:dyDescent="0.3">
      <c r="A208" s="16"/>
      <c r="B208" s="19" t="s">
        <v>18</v>
      </c>
      <c r="C208" s="21" t="e">
        <f>#REF!</f>
        <v>#REF!</v>
      </c>
      <c r="D208" s="21" t="e">
        <f>#REF!</f>
        <v>#REF!</v>
      </c>
      <c r="E208" s="21" t="e">
        <f>#REF!</f>
        <v>#REF!</v>
      </c>
      <c r="F208" s="21" t="e">
        <f>#REF!</f>
        <v>#REF!</v>
      </c>
      <c r="G208" s="21" t="e">
        <f>#REF!</f>
        <v>#REF!</v>
      </c>
      <c r="H208" s="21"/>
      <c r="I208" s="21" t="e">
        <f>#REF!</f>
        <v>#REF!</v>
      </c>
    </row>
    <row r="209" spans="1:9" s="1" customFormat="1" ht="16.5" hidden="1" thickBot="1" x14ac:dyDescent="0.3">
      <c r="A209" s="16"/>
      <c r="B209" s="19" t="s">
        <v>19</v>
      </c>
      <c r="C209" s="21" t="e">
        <f>C140+#REF!+#REF!+#REF!+#REF!+#REF!+#REF!</f>
        <v>#REF!</v>
      </c>
      <c r="D209" s="21" t="e">
        <f>D140+#REF!+#REF!+#REF!+#REF!+#REF!+#REF!</f>
        <v>#REF!</v>
      </c>
      <c r="E209" s="21" t="e">
        <f>E140+#REF!+#REF!+#REF!+#REF!+#REF!+#REF!</f>
        <v>#REF!</v>
      </c>
      <c r="F209" s="21" t="e">
        <f>F140+#REF!+#REF!+#REF!+#REF!+#REF!+#REF!</f>
        <v>#REF!</v>
      </c>
      <c r="G209" s="21" t="e">
        <f>G140+#REF!+#REF!+#REF!+#REF!+#REF!+#REF!</f>
        <v>#REF!</v>
      </c>
      <c r="H209" s="21"/>
      <c r="I209" s="21" t="e">
        <f>I140+#REF!+#REF!+#REF!+#REF!+#REF!+#REF!</f>
        <v>#REF!</v>
      </c>
    </row>
    <row r="210" spans="1:9" s="1" customFormat="1" ht="16.5" hidden="1" thickBot="1" x14ac:dyDescent="0.3">
      <c r="A210" s="16"/>
      <c r="B210" s="19" t="s">
        <v>25</v>
      </c>
      <c r="C210" s="21" t="e">
        <f>#REF!</f>
        <v>#REF!</v>
      </c>
      <c r="D210" s="21" t="e">
        <f>#REF!</f>
        <v>#REF!</v>
      </c>
      <c r="E210" s="21" t="e">
        <f>#REF!</f>
        <v>#REF!</v>
      </c>
      <c r="F210" s="21" t="e">
        <f>#REF!</f>
        <v>#REF!</v>
      </c>
      <c r="G210" s="21" t="e">
        <f>#REF!</f>
        <v>#REF!</v>
      </c>
      <c r="H210" s="21"/>
      <c r="I210" s="21" t="e">
        <f>#REF!</f>
        <v>#REF!</v>
      </c>
    </row>
    <row r="211" spans="1:9" s="1" customFormat="1" ht="16.5" hidden="1" thickBot="1" x14ac:dyDescent="0.3">
      <c r="A211" s="16"/>
      <c r="B211" s="19" t="s">
        <v>20</v>
      </c>
      <c r="C211" s="21" t="e">
        <f>#REF!+#REF!</f>
        <v>#REF!</v>
      </c>
      <c r="D211" s="21" t="e">
        <f>#REF!+#REF!</f>
        <v>#REF!</v>
      </c>
      <c r="E211" s="21" t="e">
        <f>#REF!+#REF!</f>
        <v>#REF!</v>
      </c>
      <c r="F211" s="21" t="e">
        <f>#REF!+#REF!</f>
        <v>#REF!</v>
      </c>
      <c r="G211" s="21" t="e">
        <f>#REF!+#REF!</f>
        <v>#REF!</v>
      </c>
      <c r="H211" s="21"/>
      <c r="I211" s="21" t="e">
        <f>#REF!+#REF!</f>
        <v>#REF!</v>
      </c>
    </row>
    <row r="212" spans="1:9" s="1" customFormat="1" ht="16.5" hidden="1" thickBot="1" x14ac:dyDescent="0.3">
      <c r="A212" s="16"/>
      <c r="B212" s="19" t="s">
        <v>21</v>
      </c>
      <c r="C212" s="21" t="e">
        <f>#REF!+#REF!</f>
        <v>#REF!</v>
      </c>
      <c r="D212" s="21" t="e">
        <f>#REF!+#REF!</f>
        <v>#REF!</v>
      </c>
      <c r="E212" s="21" t="e">
        <f>#REF!+#REF!</f>
        <v>#REF!</v>
      </c>
      <c r="F212" s="21" t="e">
        <f>#REF!+#REF!</f>
        <v>#REF!</v>
      </c>
      <c r="G212" s="21" t="e">
        <f>#REF!+#REF!</f>
        <v>#REF!</v>
      </c>
      <c r="H212" s="21"/>
      <c r="I212" s="21" t="e">
        <f>#REF!+#REF!</f>
        <v>#REF!</v>
      </c>
    </row>
    <row r="213" spans="1:9" s="1" customFormat="1" ht="16.5" hidden="1" thickBot="1" x14ac:dyDescent="0.3">
      <c r="A213" s="16"/>
      <c r="B213" s="19" t="s">
        <v>22</v>
      </c>
      <c r="C213" s="21" t="e">
        <f>C211+C212</f>
        <v>#REF!</v>
      </c>
      <c r="D213" s="21" t="e">
        <f t="shared" ref="D213:I213" si="35">D211+D212</f>
        <v>#REF!</v>
      </c>
      <c r="E213" s="21" t="e">
        <f t="shared" si="35"/>
        <v>#REF!</v>
      </c>
      <c r="F213" s="21" t="e">
        <f t="shared" si="35"/>
        <v>#REF!</v>
      </c>
      <c r="G213" s="21" t="e">
        <f t="shared" si="35"/>
        <v>#REF!</v>
      </c>
      <c r="H213" s="21"/>
      <c r="I213" s="21" t="e">
        <f t="shared" si="35"/>
        <v>#REF!</v>
      </c>
    </row>
    <row r="214" spans="1:9" s="1" customFormat="1" ht="16.5" hidden="1" thickBot="1" x14ac:dyDescent="0.3">
      <c r="A214" s="16"/>
      <c r="B214" s="19" t="s">
        <v>23</v>
      </c>
      <c r="C214" s="21" t="e">
        <f xml:space="preserve"> ((C8+#REF!)-(C198)-((#REF!+#REF!)-C213))</f>
        <v>#REF!</v>
      </c>
      <c r="D214" s="21" t="e">
        <f xml:space="preserve"> ((D8+#REF!)-(D198)-((#REF!+#REF!)-D213))</f>
        <v>#REF!</v>
      </c>
      <c r="E214" s="21" t="e">
        <f xml:space="preserve"> ((E8+#REF!)-(E198)-((#REF!+#REF!)-E213))</f>
        <v>#REF!</v>
      </c>
      <c r="F214" s="21" t="e">
        <f xml:space="preserve"> ((F8+#REF!)-(F198)-((#REF!+#REF!)-F213))</f>
        <v>#REF!</v>
      </c>
      <c r="G214" s="21" t="e">
        <f xml:space="preserve"> ((G8+#REF!)-(G198)-((#REF!+#REF!)-G213))</f>
        <v>#REF!</v>
      </c>
      <c r="H214" s="21"/>
      <c r="I214" s="21" t="e">
        <f xml:space="preserve"> ((I8+#REF!)-(I198)-((#REF!+#REF!)-I213))</f>
        <v>#REF!</v>
      </c>
    </row>
    <row r="215" spans="1:9" s="1" customFormat="1" ht="16.5" hidden="1" thickBot="1" x14ac:dyDescent="0.3">
      <c r="A215" s="16"/>
      <c r="B215" s="22" t="s">
        <v>24</v>
      </c>
      <c r="C215" s="23" t="e">
        <f>-(C214-(C211-C16-#REF!-C17-#REF!))</f>
        <v>#REF!</v>
      </c>
      <c r="D215" s="23" t="e">
        <f>-(D214-(D211-D16-#REF!-D17-#REF!))</f>
        <v>#REF!</v>
      </c>
      <c r="E215" s="23" t="e">
        <f>-(E214-(E211-E16-#REF!-E17-#REF!))</f>
        <v>#REF!</v>
      </c>
      <c r="F215" s="23" t="e">
        <f>-(F214-(F211-F16-#REF!-F17-#REF!))</f>
        <v>#REF!</v>
      </c>
      <c r="G215" s="23" t="e">
        <f>-(G214-(G211-G16-#REF!-G17-#REF!))</f>
        <v>#REF!</v>
      </c>
      <c r="H215" s="23"/>
      <c r="I215" s="23" t="e">
        <f>-(I214-(I211-I16-#REF!-I17-#REF!))</f>
        <v>#REF!</v>
      </c>
    </row>
    <row r="216" spans="1:9" s="1" customFormat="1" ht="16.5" thickTop="1" x14ac:dyDescent="0.25">
      <c r="A216" s="16"/>
      <c r="B216" s="24"/>
      <c r="C216" s="24"/>
      <c r="D216" s="24"/>
      <c r="E216" s="24"/>
      <c r="F216" s="24"/>
      <c r="G216" s="24"/>
      <c r="H216" s="24"/>
      <c r="I216" s="24"/>
    </row>
    <row r="217" spans="1:9" s="1" customFormat="1" x14ac:dyDescent="0.25">
      <c r="B217" s="2"/>
      <c r="C217" s="2"/>
      <c r="D217" s="2"/>
      <c r="E217" s="2"/>
      <c r="F217" s="2"/>
      <c r="G217" s="2"/>
      <c r="H217" s="2"/>
      <c r="I217" s="2"/>
    </row>
    <row r="218" spans="1:9" s="1" customFormat="1" x14ac:dyDescent="0.25">
      <c r="B218" s="2"/>
      <c r="C218" s="2"/>
      <c r="D218" s="2"/>
      <c r="E218" s="2"/>
      <c r="F218" s="2"/>
      <c r="G218" s="2"/>
      <c r="H218" s="2"/>
      <c r="I218" s="2"/>
    </row>
    <row r="219" spans="1:9" s="1" customFormat="1" x14ac:dyDescent="0.25">
      <c r="B219" s="2"/>
      <c r="C219" s="2"/>
      <c r="D219" s="2"/>
      <c r="E219" s="2"/>
      <c r="F219" s="2"/>
      <c r="G219" s="2"/>
      <c r="H219" s="2"/>
      <c r="I219" s="2"/>
    </row>
    <row r="220" spans="1:9" s="1" customFormat="1" x14ac:dyDescent="0.25">
      <c r="B220" s="2"/>
      <c r="C220" s="2"/>
      <c r="D220" s="2"/>
      <c r="E220" s="2"/>
      <c r="F220" s="2"/>
      <c r="G220" s="2"/>
      <c r="H220" s="2"/>
      <c r="I220" s="2"/>
    </row>
    <row r="221" spans="1:9" s="1" customFormat="1" x14ac:dyDescent="0.25">
      <c r="C221" s="2"/>
      <c r="D221" s="2"/>
      <c r="E221" s="2"/>
      <c r="F221" s="2"/>
      <c r="G221" s="2"/>
      <c r="H221" s="2"/>
      <c r="I221" s="2"/>
    </row>
    <row r="222" spans="1:9" s="1" customFormat="1" x14ac:dyDescent="0.25">
      <c r="B222" s="2"/>
      <c r="C222" s="2"/>
      <c r="D222" s="2"/>
      <c r="E222" s="2"/>
      <c r="F222" s="2"/>
      <c r="G222" s="2"/>
      <c r="H222" s="2"/>
      <c r="I222" s="2"/>
    </row>
    <row r="223" spans="1:9" s="1" customFormat="1" x14ac:dyDescent="0.25">
      <c r="B223" s="2"/>
      <c r="C223" s="2"/>
      <c r="D223" s="2"/>
      <c r="E223" s="2"/>
      <c r="F223" s="2"/>
      <c r="G223" s="2"/>
      <c r="H223" s="2"/>
      <c r="I223" s="2"/>
    </row>
    <row r="224" spans="1:9" s="1" customFormat="1" x14ac:dyDescent="0.25">
      <c r="B224" s="2"/>
      <c r="C224" s="2"/>
      <c r="D224" s="2"/>
      <c r="E224" s="2"/>
      <c r="F224" s="2"/>
      <c r="G224" s="2"/>
      <c r="H224" s="2"/>
      <c r="I224" s="2"/>
    </row>
    <row r="225" spans="2:9" s="1" customFormat="1" x14ac:dyDescent="0.25">
      <c r="B225" s="2"/>
      <c r="C225" s="2"/>
      <c r="D225" s="2"/>
      <c r="E225" s="2"/>
      <c r="F225" s="2"/>
      <c r="G225" s="2"/>
      <c r="H225" s="2"/>
      <c r="I225" s="2"/>
    </row>
    <row r="226" spans="2:9" s="1" customFormat="1" x14ac:dyDescent="0.25">
      <c r="B226" s="2"/>
      <c r="C226" s="2"/>
      <c r="D226" s="2"/>
      <c r="E226" s="2"/>
      <c r="F226" s="2"/>
      <c r="G226" s="2"/>
      <c r="H226" s="2"/>
      <c r="I226" s="2"/>
    </row>
    <row r="227" spans="2:9" s="1" customFormat="1" x14ac:dyDescent="0.25">
      <c r="B227" s="2"/>
      <c r="C227" s="2"/>
      <c r="D227" s="2"/>
      <c r="E227" s="2"/>
      <c r="F227" s="2"/>
      <c r="G227" s="2"/>
      <c r="H227" s="2"/>
      <c r="I227" s="2"/>
    </row>
    <row r="228" spans="2:9" s="1" customFormat="1" ht="19.149999999999999" customHeight="1" x14ac:dyDescent="0.25">
      <c r="B228" s="2"/>
      <c r="C228" s="2"/>
      <c r="D228" s="2"/>
      <c r="E228" s="2"/>
      <c r="F228" s="2"/>
      <c r="G228" s="2"/>
      <c r="H228" s="2"/>
      <c r="I228" s="2"/>
    </row>
    <row r="229" spans="2:9" s="1" customFormat="1" x14ac:dyDescent="0.25">
      <c r="B229" s="2"/>
      <c r="C229" s="2"/>
      <c r="D229" s="2"/>
      <c r="E229" s="2"/>
      <c r="F229" s="2"/>
      <c r="G229" s="2"/>
      <c r="H229" s="2"/>
      <c r="I229" s="2"/>
    </row>
    <row r="230" spans="2:9" s="1" customFormat="1" x14ac:dyDescent="0.25">
      <c r="B230" s="2"/>
      <c r="C230" s="2"/>
      <c r="D230" s="2"/>
      <c r="E230" s="2"/>
      <c r="F230" s="2"/>
      <c r="G230" s="2"/>
      <c r="H230" s="2"/>
      <c r="I230" s="2"/>
    </row>
    <row r="231" spans="2:9" s="1" customFormat="1" x14ac:dyDescent="0.25">
      <c r="B231" s="2"/>
      <c r="C231" s="2"/>
      <c r="D231" s="2"/>
      <c r="E231" s="2"/>
      <c r="F231" s="2"/>
      <c r="G231" s="2"/>
      <c r="H231" s="2"/>
      <c r="I231" s="2"/>
    </row>
    <row r="232" spans="2:9" s="1" customFormat="1" x14ac:dyDescent="0.25">
      <c r="B232" s="2"/>
      <c r="C232" s="2"/>
      <c r="D232" s="2"/>
      <c r="E232" s="2"/>
      <c r="F232" s="2"/>
      <c r="G232" s="2"/>
      <c r="H232" s="2"/>
      <c r="I232" s="2"/>
    </row>
    <row r="233" spans="2:9" s="1" customFormat="1" x14ac:dyDescent="0.25">
      <c r="B233" s="2"/>
      <c r="C233" s="2"/>
      <c r="D233" s="2"/>
      <c r="E233" s="2"/>
      <c r="F233" s="2"/>
      <c r="G233" s="2"/>
      <c r="H233" s="2"/>
      <c r="I233" s="2"/>
    </row>
    <row r="234" spans="2:9" s="1" customFormat="1" x14ac:dyDescent="0.25">
      <c r="B234" s="2"/>
      <c r="C234" s="2"/>
      <c r="D234" s="2"/>
      <c r="E234" s="2"/>
      <c r="F234" s="2"/>
      <c r="G234" s="2"/>
      <c r="H234" s="2"/>
      <c r="I234" s="2"/>
    </row>
    <row r="235" spans="2:9" s="2" customFormat="1" x14ac:dyDescent="0.25">
      <c r="C235" s="4"/>
      <c r="D235" s="4"/>
      <c r="E235" s="4"/>
      <c r="F235" s="4"/>
      <c r="G235" s="4"/>
      <c r="H235" s="4"/>
      <c r="I235" s="4"/>
    </row>
    <row r="236" spans="2:9" s="1" customFormat="1" x14ac:dyDescent="0.25"/>
    <row r="237" spans="2:9" s="1" customFormat="1" x14ac:dyDescent="0.25"/>
    <row r="238" spans="2:9" s="1" customFormat="1" x14ac:dyDescent="0.25"/>
    <row r="239" spans="2:9" s="1" customFormat="1" x14ac:dyDescent="0.25"/>
    <row r="240" spans="2:9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</sheetData>
  <mergeCells count="6">
    <mergeCell ref="A1:I1"/>
    <mergeCell ref="A2:I2"/>
    <mergeCell ref="A3:I3"/>
    <mergeCell ref="A124:I124"/>
    <mergeCell ref="A123:I123"/>
    <mergeCell ref="A122:I122"/>
  </mergeCells>
  <phoneticPr fontId="22" type="noConversion"/>
  <pageMargins left="0.78740157499999996" right="0.78740157499999996" top="0.984251969" bottom="0.984251969" header="0.49212598499999999" footer="0.49212598499999999"/>
  <pageSetup scale="15" fitToHeight="0" orientation="landscape" r:id="rId1"/>
  <headerFooter alignWithMargins="0"/>
  <rowBreaks count="1" manualBreakCount="1">
    <brk id="12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12587-5050-46F3-B6ED-67862C25E8B4}">
  <sheetPr>
    <pageSetUpPr fitToPage="1"/>
  </sheetPr>
  <dimension ref="A1:E16"/>
  <sheetViews>
    <sheetView workbookViewId="0">
      <selection activeCell="B14" sqref="B14"/>
    </sheetView>
  </sheetViews>
  <sheetFormatPr defaultRowHeight="12.75" x14ac:dyDescent="0.2"/>
  <cols>
    <col min="1" max="1" width="86.140625" customWidth="1"/>
    <col min="2" max="5" width="14.7109375" bestFit="1" customWidth="1"/>
  </cols>
  <sheetData>
    <row r="1" spans="1:5" x14ac:dyDescent="0.2">
      <c r="A1" s="262" t="str">
        <f>Parâmetros!A7</f>
        <v>Município de Arroio do Padre / RS</v>
      </c>
      <c r="B1" s="262"/>
      <c r="C1" s="263"/>
      <c r="D1" s="263"/>
      <c r="E1" s="263"/>
    </row>
    <row r="2" spans="1:5" x14ac:dyDescent="0.2">
      <c r="A2" s="264" t="str">
        <f>Parâmetros!A8</f>
        <v>PLANO PLURIANUAL 2026 - 2029</v>
      </c>
      <c r="B2" s="264"/>
      <c r="C2" s="263"/>
      <c r="D2" s="263"/>
      <c r="E2" s="263"/>
    </row>
    <row r="3" spans="1:5" x14ac:dyDescent="0.2">
      <c r="A3" s="265" t="s">
        <v>403</v>
      </c>
      <c r="B3" s="265"/>
      <c r="C3" s="265"/>
      <c r="D3" s="265"/>
      <c r="E3" s="265"/>
    </row>
    <row r="4" spans="1:5" x14ac:dyDescent="0.2">
      <c r="A4" s="266"/>
      <c r="B4" s="267"/>
      <c r="C4" s="267"/>
      <c r="D4" s="267"/>
      <c r="E4" s="267"/>
    </row>
    <row r="5" spans="1:5" x14ac:dyDescent="0.2">
      <c r="A5" s="163" t="s">
        <v>29</v>
      </c>
      <c r="B5" s="164">
        <f>Parâmetros!C10</f>
        <v>2026</v>
      </c>
      <c r="C5" s="164">
        <f>B5+1</f>
        <v>2027</v>
      </c>
      <c r="D5" s="164">
        <f>C5+1</f>
        <v>2028</v>
      </c>
      <c r="E5" s="164">
        <f>D5+1</f>
        <v>2029</v>
      </c>
    </row>
    <row r="6" spans="1:5" x14ac:dyDescent="0.2">
      <c r="A6" s="165" t="s">
        <v>130</v>
      </c>
      <c r="B6" s="166">
        <f>Projeções!F8</f>
        <v>34485205.332002826</v>
      </c>
      <c r="C6" s="166">
        <f>Projeções!G8</f>
        <v>36395770.593811505</v>
      </c>
      <c r="D6" s="166">
        <f>Projeções!H8</f>
        <v>38385161.608663395</v>
      </c>
      <c r="E6" s="166">
        <f>Projeções!I8</f>
        <v>40479615.159398682</v>
      </c>
    </row>
    <row r="7" spans="1:5" x14ac:dyDescent="0.2">
      <c r="A7" s="167" t="s">
        <v>127</v>
      </c>
      <c r="B7" s="213">
        <f>SUM(B8:B13)</f>
        <v>4635205.3272799999</v>
      </c>
      <c r="C7" s="213">
        <f>SUM(C8:C13)</f>
        <v>4913810.5930653894</v>
      </c>
      <c r="D7" s="213">
        <f>SUM(D8:D13)</f>
        <v>5201231.9487168668</v>
      </c>
      <c r="E7" s="213">
        <f>SUM(E8:E13)</f>
        <v>5503960.9982362734</v>
      </c>
    </row>
    <row r="8" spans="1:5" x14ac:dyDescent="0.2">
      <c r="A8" s="168" t="s">
        <v>128</v>
      </c>
      <c r="B8" s="169">
        <f>Projeções!F14</f>
        <v>0</v>
      </c>
      <c r="C8" s="169">
        <f>Projeções!G14</f>
        <v>0</v>
      </c>
      <c r="D8" s="169">
        <f>Projeções!H14</f>
        <v>0</v>
      </c>
      <c r="E8" s="169">
        <f>Projeções!I14</f>
        <v>0</v>
      </c>
    </row>
    <row r="9" spans="1:5" x14ac:dyDescent="0.2">
      <c r="A9" s="170" t="s">
        <v>129</v>
      </c>
      <c r="B9" s="169">
        <f>Projeções!F77</f>
        <v>0</v>
      </c>
      <c r="C9" s="169">
        <f>Projeções!G77</f>
        <v>0</v>
      </c>
      <c r="D9" s="169">
        <f>Projeções!H77</f>
        <v>0</v>
      </c>
      <c r="E9" s="169">
        <f>Projeções!I77</f>
        <v>0</v>
      </c>
    </row>
    <row r="10" spans="1:5" x14ac:dyDescent="0.2">
      <c r="A10" s="170" t="s">
        <v>132</v>
      </c>
      <c r="B10" s="169">
        <f>Projeções!F27</f>
        <v>0</v>
      </c>
      <c r="C10" s="169">
        <f>Projeções!G27</f>
        <v>0</v>
      </c>
      <c r="D10" s="169">
        <f>Projeções!H27</f>
        <v>0</v>
      </c>
      <c r="E10" s="169">
        <f>Projeções!I27</f>
        <v>0</v>
      </c>
    </row>
    <row r="11" spans="1:5" x14ac:dyDescent="0.2">
      <c r="A11" s="168" t="s">
        <v>131</v>
      </c>
      <c r="B11" s="169">
        <f>-(Projeções!F112+Projeções!F113+Projeções!F114)</f>
        <v>4435205.3272799999</v>
      </c>
      <c r="C11" s="169">
        <f>-(Projeções!G112+Projeções!G113+Projeções!G114)</f>
        <v>4705770.5930653894</v>
      </c>
      <c r="D11" s="169">
        <f>-(Projeções!H112+Projeções!H113+Projeções!H114)</f>
        <v>4985161.6047168663</v>
      </c>
      <c r="E11" s="169">
        <f>-(Projeções!I112+Projeções!I113+Projeções!I114)</f>
        <v>5279615.1600610735</v>
      </c>
    </row>
    <row r="12" spans="1:5" ht="25.5" x14ac:dyDescent="0.2">
      <c r="A12" s="211" t="s">
        <v>381</v>
      </c>
      <c r="B12" s="212">
        <v>100000</v>
      </c>
      <c r="C12" s="169">
        <f>B12*(1+Parâmetros!D11)</f>
        <v>104020</v>
      </c>
      <c r="D12" s="169">
        <f>C12*(1+Parâmetros!E11)</f>
        <v>108035.17199999999</v>
      </c>
      <c r="E12" s="169">
        <f>D12*(1+Parâmetros!F11)</f>
        <v>112172.91908759999</v>
      </c>
    </row>
    <row r="13" spans="1:5" ht="42.75" customHeight="1" x14ac:dyDescent="0.2">
      <c r="A13" s="211" t="s">
        <v>382</v>
      </c>
      <c r="B13" s="212">
        <v>100000</v>
      </c>
      <c r="C13" s="169">
        <f>B13*(1+Parâmetros!D11)</f>
        <v>104020</v>
      </c>
      <c r="D13" s="169">
        <f>C13*(1+Parâmetros!E11)</f>
        <v>108035.17199999999</v>
      </c>
      <c r="E13" s="169">
        <f>D13*(1+Parâmetros!F11)</f>
        <v>112172.91908759999</v>
      </c>
    </row>
    <row r="14" spans="1:5" x14ac:dyDescent="0.2">
      <c r="A14" s="214" t="s">
        <v>383</v>
      </c>
      <c r="B14" s="166">
        <f>B6-B7</f>
        <v>29850000.004722826</v>
      </c>
      <c r="C14" s="166">
        <f>C6-C7</f>
        <v>31481960.000746116</v>
      </c>
      <c r="D14" s="166">
        <f>D6-D7</f>
        <v>33183929.659946527</v>
      </c>
      <c r="E14" s="166">
        <f>E6-E7</f>
        <v>34975654.161162406</v>
      </c>
    </row>
    <row r="16" spans="1:5" x14ac:dyDescent="0.2">
      <c r="A16" s="45"/>
    </row>
  </sheetData>
  <mergeCells count="4">
    <mergeCell ref="A1:E1"/>
    <mergeCell ref="A2:E2"/>
    <mergeCell ref="A3:E3"/>
    <mergeCell ref="A4:E4"/>
  </mergeCells>
  <phoneticPr fontId="0" type="noConversion"/>
  <pageMargins left="0.511811024" right="0.511811024" top="0.78740157499999996" bottom="0.78740157499999996" header="0.31496062000000002" footer="0.31496062000000002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EFDA4-8E98-45E1-AC04-9C074D2751EA}">
  <dimension ref="A1:E42"/>
  <sheetViews>
    <sheetView topLeftCell="A7" zoomScaleNormal="100" zoomScaleSheetLayoutView="100" workbookViewId="0">
      <selection activeCell="A3" sqref="A3:E3"/>
    </sheetView>
  </sheetViews>
  <sheetFormatPr defaultRowHeight="12.75" x14ac:dyDescent="0.2"/>
  <cols>
    <col min="1" max="1" width="71.28515625" customWidth="1"/>
    <col min="2" max="5" width="17.5703125" bestFit="1" customWidth="1"/>
  </cols>
  <sheetData>
    <row r="1" spans="1:5" x14ac:dyDescent="0.2">
      <c r="A1" s="273" t="str">
        <f>Parâmetros!A7</f>
        <v>Município de Arroio do Padre / RS</v>
      </c>
      <c r="B1" s="274"/>
      <c r="C1" s="274"/>
      <c r="D1" s="274"/>
      <c r="E1" s="127"/>
    </row>
    <row r="2" spans="1:5" x14ac:dyDescent="0.2">
      <c r="A2" s="275" t="str">
        <f>Parâmetros!A8</f>
        <v>PLANO PLURIANUAL 2026 - 2029</v>
      </c>
      <c r="B2" s="275"/>
      <c r="C2" s="275"/>
      <c r="D2" s="275"/>
      <c r="E2" s="171"/>
    </row>
    <row r="3" spans="1:5" ht="15" x14ac:dyDescent="0.25">
      <c r="A3" s="280" t="s">
        <v>402</v>
      </c>
      <c r="B3" s="281"/>
      <c r="C3" s="281"/>
      <c r="D3" s="281"/>
      <c r="E3" s="282"/>
    </row>
    <row r="4" spans="1:5" ht="15" x14ac:dyDescent="0.25">
      <c r="A4" s="172"/>
      <c r="B4" s="173"/>
      <c r="C4" s="173"/>
      <c r="D4" s="173"/>
      <c r="E4" s="173"/>
    </row>
    <row r="5" spans="1:5" x14ac:dyDescent="0.2">
      <c r="A5" s="276" t="s">
        <v>136</v>
      </c>
      <c r="B5" s="268"/>
      <c r="C5" s="269"/>
      <c r="D5" s="269"/>
      <c r="E5" s="270"/>
    </row>
    <row r="6" spans="1:5" x14ac:dyDescent="0.2">
      <c r="A6" s="277"/>
      <c r="B6" s="174">
        <f>RCL!B5</f>
        <v>2026</v>
      </c>
      <c r="C6" s="174">
        <f>RCL!C5</f>
        <v>2027</v>
      </c>
      <c r="D6" s="174">
        <f>RCL!D5</f>
        <v>2028</v>
      </c>
      <c r="E6" s="174">
        <f>RCL!E5</f>
        <v>2029</v>
      </c>
    </row>
    <row r="7" spans="1:5" x14ac:dyDescent="0.2">
      <c r="A7" s="175" t="s">
        <v>133</v>
      </c>
      <c r="B7" s="176">
        <f>RCL!B14*0.54</f>
        <v>16119000.002550326</v>
      </c>
      <c r="C7" s="176">
        <f>RCL!C14*0.54</f>
        <v>17000258.400402904</v>
      </c>
      <c r="D7" s="176">
        <f>RCL!D14*0.54</f>
        <v>17919322.016371127</v>
      </c>
      <c r="E7" s="176">
        <f>RCL!E14*0.54</f>
        <v>18886853.247027699</v>
      </c>
    </row>
    <row r="8" spans="1:5" x14ac:dyDescent="0.2">
      <c r="A8" s="175" t="s">
        <v>134</v>
      </c>
      <c r="B8" s="176">
        <f>RCL!B14*0.513</f>
        <v>15313050.00242281</v>
      </c>
      <c r="C8" s="176">
        <f>RCL!C14*0.513</f>
        <v>16150245.480382757</v>
      </c>
      <c r="D8" s="176">
        <f>RCL!D14*0.513</f>
        <v>17023355.915552568</v>
      </c>
      <c r="E8" s="176">
        <f>RCL!E14*0.513</f>
        <v>17942510.584676314</v>
      </c>
    </row>
    <row r="9" spans="1:5" x14ac:dyDescent="0.2">
      <c r="A9" s="175" t="s">
        <v>135</v>
      </c>
      <c r="B9" s="176">
        <f>RCL!B14*0.486</f>
        <v>14507100.002295293</v>
      </c>
      <c r="C9" s="176">
        <f>RCL!C14*0.486</f>
        <v>15300232.560362613</v>
      </c>
      <c r="D9" s="176">
        <f>RCL!D14*0.486</f>
        <v>16127389.814734012</v>
      </c>
      <c r="E9" s="176">
        <f>RCL!E14*0.486</f>
        <v>16998167.922324929</v>
      </c>
    </row>
    <row r="10" spans="1:5" x14ac:dyDescent="0.2">
      <c r="A10" s="278"/>
      <c r="B10" s="279"/>
      <c r="C10" s="279"/>
      <c r="D10" s="279"/>
      <c r="E10" s="270"/>
    </row>
    <row r="11" spans="1:5" x14ac:dyDescent="0.2">
      <c r="A11" s="177"/>
      <c r="B11" s="178"/>
      <c r="C11" s="178"/>
      <c r="D11" s="178"/>
      <c r="E11" s="178"/>
    </row>
    <row r="12" spans="1:5" x14ac:dyDescent="0.2">
      <c r="A12" s="177"/>
      <c r="B12" s="178"/>
      <c r="C12" s="178"/>
      <c r="D12" s="178"/>
      <c r="E12" s="178"/>
    </row>
    <row r="13" spans="1:5" x14ac:dyDescent="0.2">
      <c r="A13" s="271" t="s">
        <v>137</v>
      </c>
      <c r="B13" s="268"/>
      <c r="C13" s="269"/>
      <c r="D13" s="269"/>
      <c r="E13" s="270"/>
    </row>
    <row r="14" spans="1:5" x14ac:dyDescent="0.2">
      <c r="A14" s="272"/>
      <c r="B14" s="174">
        <f>RCL!B5</f>
        <v>2026</v>
      </c>
      <c r="C14" s="174">
        <f>RCL!C5</f>
        <v>2027</v>
      </c>
      <c r="D14" s="174">
        <f>RCL!D5</f>
        <v>2028</v>
      </c>
      <c r="E14" s="174">
        <f>RCL!E5</f>
        <v>2029</v>
      </c>
    </row>
    <row r="15" spans="1:5" x14ac:dyDescent="0.2">
      <c r="A15" s="179" t="s">
        <v>138</v>
      </c>
      <c r="B15" s="176">
        <f>RCL!B14*0.06</f>
        <v>1791000.0002833696</v>
      </c>
      <c r="C15" s="176">
        <f>RCL!C14*0.06</f>
        <v>1888917.6000447669</v>
      </c>
      <c r="D15" s="176">
        <f>RCL!D14*0.06</f>
        <v>1991035.7795967916</v>
      </c>
      <c r="E15" s="176">
        <f>RCL!E14*0.06</f>
        <v>2098539.2496697442</v>
      </c>
    </row>
    <row r="16" spans="1:5" x14ac:dyDescent="0.2">
      <c r="A16" s="180" t="s">
        <v>139</v>
      </c>
      <c r="B16" s="176">
        <f>RCL!B14*0.057</f>
        <v>1701450.0002692011</v>
      </c>
      <c r="C16" s="176">
        <f>RCL!C14*0.057</f>
        <v>1794471.7200425286</v>
      </c>
      <c r="D16" s="176">
        <f>RCL!D14*0.057</f>
        <v>1891483.9906169521</v>
      </c>
      <c r="E16" s="176">
        <f>RCL!E14*0.057</f>
        <v>1993612.2871862573</v>
      </c>
    </row>
    <row r="17" spans="1:5" x14ac:dyDescent="0.2">
      <c r="A17" s="181" t="s">
        <v>140</v>
      </c>
      <c r="B17" s="176">
        <f>RCL!B14*0.054</f>
        <v>1611900.0002550327</v>
      </c>
      <c r="C17" s="176">
        <f>RCL!C14*0.054</f>
        <v>1700025.8400402903</v>
      </c>
      <c r="D17" s="176">
        <f>RCL!D14*0.054</f>
        <v>1791932.2016371125</v>
      </c>
      <c r="E17" s="176">
        <f>RCL!E14*0.054</f>
        <v>1888685.32470277</v>
      </c>
    </row>
    <row r="20" spans="1:5" x14ac:dyDescent="0.2">
      <c r="A20" s="46"/>
    </row>
    <row r="35" ht="0.75" customHeight="1" x14ac:dyDescent="0.2"/>
    <row r="36" ht="12.75" hidden="1" customHeight="1" x14ac:dyDescent="0.2"/>
    <row r="37" ht="12.75" hidden="1" customHeight="1" x14ac:dyDescent="0.2"/>
    <row r="38" ht="12.75" hidden="1" customHeight="1" x14ac:dyDescent="0.2"/>
    <row r="39" ht="12.75" hidden="1" customHeight="1" x14ac:dyDescent="0.2"/>
    <row r="40" ht="12.75" hidden="1" customHeight="1" x14ac:dyDescent="0.2"/>
    <row r="41" ht="12.75" hidden="1" customHeight="1" x14ac:dyDescent="0.2"/>
    <row r="42" ht="12.75" hidden="1" customHeight="1" x14ac:dyDescent="0.2"/>
  </sheetData>
  <mergeCells count="8">
    <mergeCell ref="B13:E13"/>
    <mergeCell ref="A13:A14"/>
    <mergeCell ref="A1:D1"/>
    <mergeCell ref="A2:D2"/>
    <mergeCell ref="A5:A6"/>
    <mergeCell ref="B5:E5"/>
    <mergeCell ref="A10:E10"/>
    <mergeCell ref="A3:E3"/>
  </mergeCells>
  <phoneticPr fontId="32" type="noConversion"/>
  <pageMargins left="0.511811024" right="0.511811024" top="0.78740157499999996" bottom="0.78740157499999996" header="0.31496062000000002" footer="0.31496062000000002"/>
  <pageSetup paperSize="9" scale="70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shapeId="21506" r:id="rId4">
          <objectPr defaultSize="0" autoPict="0" r:id="rId5">
            <anchor moveWithCells="1">
              <from>
                <xdr:col>0</xdr:col>
                <xdr:colOff>57150</xdr:colOff>
                <xdr:row>18</xdr:row>
                <xdr:rowOff>19050</xdr:rowOff>
              </from>
              <to>
                <xdr:col>4</xdr:col>
                <xdr:colOff>1104900</xdr:colOff>
                <xdr:row>51</xdr:row>
                <xdr:rowOff>133350</xdr:rowOff>
              </to>
            </anchor>
          </objectPr>
        </oleObject>
      </mc:Choice>
      <mc:Fallback>
        <oleObject progId="Word.Document.8" shapeId="21506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6D69D-5F50-40EA-B12B-E12A26B06FFE}">
  <sheetPr>
    <pageSetUpPr fitToPage="1"/>
  </sheetPr>
  <dimension ref="A1:IT107"/>
  <sheetViews>
    <sheetView topLeftCell="A4" workbookViewId="0">
      <selection activeCell="G25" sqref="G25"/>
    </sheetView>
  </sheetViews>
  <sheetFormatPr defaultRowHeight="12.75" x14ac:dyDescent="0.2"/>
  <cols>
    <col min="1" max="1" width="81" style="59" customWidth="1"/>
    <col min="2" max="5" width="13.7109375" style="59" customWidth="1"/>
    <col min="6" max="7" width="22.7109375" style="59" customWidth="1"/>
    <col min="8" max="16384" width="9.140625" style="59"/>
  </cols>
  <sheetData>
    <row r="1" spans="1:254" s="57" customFormat="1" ht="12.95" customHeight="1" x14ac:dyDescent="0.2">
      <c r="A1" s="283" t="str">
        <f>Parâmetros!A7</f>
        <v>Município de Arroio do Padre / RS</v>
      </c>
      <c r="B1" s="275"/>
      <c r="C1" s="275"/>
      <c r="D1" s="275"/>
      <c r="E1" s="275"/>
    </row>
    <row r="2" spans="1:254" s="58" customFormat="1" ht="12.95" customHeight="1" x14ac:dyDescent="0.2">
      <c r="A2" s="284" t="str">
        <f>Parâmetros!A8</f>
        <v>PLANO PLURIANUAL 2026 - 2029</v>
      </c>
      <c r="B2" s="274"/>
      <c r="C2" s="274"/>
      <c r="D2" s="274"/>
      <c r="E2" s="274"/>
    </row>
    <row r="3" spans="1:254" s="58" customFormat="1" ht="12.95" customHeight="1" x14ac:dyDescent="0.25">
      <c r="A3" s="280" t="s">
        <v>401</v>
      </c>
      <c r="B3" s="281"/>
      <c r="C3" s="281"/>
      <c r="D3" s="281"/>
      <c r="E3" s="281"/>
    </row>
    <row r="4" spans="1:254" ht="12.95" customHeight="1" x14ac:dyDescent="0.2">
      <c r="A4" s="266"/>
      <c r="B4" s="267"/>
      <c r="C4" s="267"/>
      <c r="D4" s="267"/>
      <c r="E4" s="267"/>
    </row>
    <row r="5" spans="1:254" ht="12.95" customHeight="1" x14ac:dyDescent="0.2">
      <c r="A5" s="285" t="s">
        <v>231</v>
      </c>
      <c r="B5" s="286" t="s">
        <v>232</v>
      </c>
      <c r="C5" s="286"/>
      <c r="D5" s="286"/>
      <c r="E5" s="286"/>
    </row>
    <row r="6" spans="1:254" ht="12.95" customHeight="1" x14ac:dyDescent="0.2">
      <c r="A6" s="284"/>
      <c r="B6" s="287" t="s">
        <v>365</v>
      </c>
      <c r="C6" s="287" t="s">
        <v>364</v>
      </c>
      <c r="D6" s="287" t="s">
        <v>363</v>
      </c>
      <c r="E6" s="289" t="s">
        <v>362</v>
      </c>
    </row>
    <row r="7" spans="1:254" ht="12.95" customHeight="1" thickBot="1" x14ac:dyDescent="0.25">
      <c r="A7" s="63"/>
      <c r="B7" s="288"/>
      <c r="C7" s="288"/>
      <c r="D7" s="288"/>
      <c r="E7" s="288"/>
    </row>
    <row r="8" spans="1:254" ht="12.95" customHeight="1" thickBot="1" x14ac:dyDescent="0.25">
      <c r="A8" s="64" t="s">
        <v>242</v>
      </c>
      <c r="B8" s="81">
        <f>Projeções!E9</f>
        <v>990000</v>
      </c>
      <c r="C8" s="81">
        <f>Projeções!F9</f>
        <v>1108387.5322589867</v>
      </c>
      <c r="D8" s="81">
        <f>Projeções!G9</f>
        <v>1187533.052387472</v>
      </c>
      <c r="E8" s="81">
        <f>Projeções!H9</f>
        <v>1270372.9830559173</v>
      </c>
    </row>
    <row r="9" spans="1:254" ht="12.95" customHeight="1" x14ac:dyDescent="0.2">
      <c r="A9" s="65" t="s">
        <v>243</v>
      </c>
      <c r="B9" s="82">
        <f>Projeções!E14</f>
        <v>0</v>
      </c>
      <c r="C9" s="82">
        <f>Projeções!F14</f>
        <v>0</v>
      </c>
      <c r="D9" s="82">
        <f>Projeções!G14</f>
        <v>0</v>
      </c>
      <c r="E9" s="82">
        <f>Projeções!H14</f>
        <v>0</v>
      </c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0"/>
      <c r="DB9" s="60"/>
      <c r="DC9" s="60"/>
      <c r="DD9" s="60"/>
      <c r="DE9" s="60"/>
      <c r="DF9" s="60"/>
      <c r="DG9" s="60"/>
      <c r="DH9" s="60"/>
      <c r="DI9" s="60"/>
      <c r="DJ9" s="60"/>
      <c r="DK9" s="60"/>
      <c r="DL9" s="60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0"/>
      <c r="EH9" s="60"/>
      <c r="EI9" s="60"/>
      <c r="EJ9" s="60"/>
      <c r="EK9" s="60"/>
      <c r="EL9" s="60"/>
      <c r="EM9" s="60"/>
      <c r="EN9" s="60"/>
      <c r="EO9" s="60"/>
      <c r="EP9" s="60"/>
      <c r="EQ9" s="60"/>
      <c r="ER9" s="60"/>
      <c r="ES9" s="60"/>
      <c r="ET9" s="60"/>
      <c r="EU9" s="60"/>
      <c r="EV9" s="60"/>
      <c r="EW9" s="60"/>
      <c r="EX9" s="60"/>
      <c r="EY9" s="60"/>
      <c r="EZ9" s="60"/>
      <c r="FA9" s="60"/>
      <c r="FB9" s="60"/>
      <c r="FC9" s="60"/>
      <c r="FD9" s="60"/>
      <c r="FE9" s="60"/>
      <c r="FF9" s="60"/>
      <c r="FG9" s="60"/>
      <c r="FH9" s="60"/>
      <c r="FI9" s="60"/>
      <c r="FJ9" s="60"/>
      <c r="FK9" s="60"/>
      <c r="FL9" s="60"/>
      <c r="FM9" s="60"/>
      <c r="FN9" s="60"/>
      <c r="FO9" s="60"/>
      <c r="FP9" s="60"/>
      <c r="FQ9" s="60"/>
      <c r="FR9" s="60"/>
      <c r="FS9" s="60"/>
      <c r="FT9" s="60"/>
      <c r="FU9" s="60"/>
      <c r="FV9" s="60"/>
      <c r="FW9" s="60"/>
      <c r="FX9" s="60"/>
      <c r="FY9" s="60"/>
      <c r="FZ9" s="60"/>
      <c r="GA9" s="60"/>
      <c r="GB9" s="60"/>
      <c r="GC9" s="60"/>
      <c r="GD9" s="60"/>
      <c r="GE9" s="60"/>
      <c r="GF9" s="60"/>
      <c r="GG9" s="60"/>
      <c r="GH9" s="60"/>
      <c r="GI9" s="60"/>
      <c r="GJ9" s="60"/>
      <c r="GK9" s="60"/>
      <c r="GL9" s="60"/>
      <c r="GM9" s="60"/>
      <c r="GN9" s="60"/>
      <c r="GO9" s="60"/>
      <c r="GP9" s="60"/>
      <c r="GQ9" s="60"/>
      <c r="GR9" s="60"/>
      <c r="GS9" s="60"/>
      <c r="GT9" s="60"/>
      <c r="GU9" s="60"/>
      <c r="GV9" s="60"/>
      <c r="GW9" s="60"/>
      <c r="GX9" s="60"/>
      <c r="GY9" s="60"/>
      <c r="GZ9" s="60"/>
      <c r="HA9" s="60"/>
      <c r="HB9" s="60"/>
      <c r="HC9" s="60"/>
      <c r="HD9" s="60"/>
      <c r="HE9" s="60"/>
      <c r="HF9" s="60"/>
      <c r="HG9" s="60"/>
      <c r="HH9" s="60"/>
      <c r="HI9" s="60"/>
      <c r="HJ9" s="60"/>
      <c r="HK9" s="60"/>
      <c r="HL9" s="60"/>
      <c r="HM9" s="60"/>
      <c r="HN9" s="60"/>
      <c r="HO9" s="60"/>
      <c r="HP9" s="60"/>
      <c r="HQ9" s="60"/>
      <c r="HR9" s="60"/>
      <c r="HS9" s="60"/>
      <c r="HT9" s="60"/>
      <c r="HU9" s="60"/>
      <c r="HV9" s="60"/>
      <c r="HW9" s="60"/>
      <c r="HX9" s="60"/>
      <c r="HY9" s="60"/>
      <c r="HZ9" s="60"/>
      <c r="IA9" s="60"/>
      <c r="IB9" s="60"/>
      <c r="IC9" s="60"/>
      <c r="ID9" s="60"/>
      <c r="IE9" s="60"/>
      <c r="IF9" s="60"/>
      <c r="IG9" s="60"/>
      <c r="IH9" s="60"/>
      <c r="II9" s="60"/>
      <c r="IJ9" s="60"/>
      <c r="IK9" s="60"/>
      <c r="IL9" s="60"/>
      <c r="IM9" s="60"/>
      <c r="IN9" s="60"/>
      <c r="IO9" s="60"/>
      <c r="IP9" s="60"/>
      <c r="IQ9" s="60"/>
      <c r="IR9" s="60"/>
      <c r="IS9" s="60"/>
      <c r="IT9" s="60"/>
    </row>
    <row r="10" spans="1:254" ht="12.95" customHeight="1" x14ac:dyDescent="0.2">
      <c r="A10" s="65" t="s">
        <v>244</v>
      </c>
      <c r="B10" s="83">
        <f>Projeções!E18</f>
        <v>0</v>
      </c>
      <c r="C10" s="83">
        <f>Projeções!F18</f>
        <v>0</v>
      </c>
      <c r="D10" s="83">
        <f>Projeções!G18</f>
        <v>0</v>
      </c>
      <c r="E10" s="83">
        <f>Projeções!H18</f>
        <v>0</v>
      </c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Q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B10" s="60"/>
      <c r="EC10" s="60"/>
      <c r="ED10" s="60"/>
      <c r="EE10" s="60"/>
      <c r="EF10" s="60"/>
      <c r="EG10" s="60"/>
      <c r="EH10" s="60"/>
      <c r="EI10" s="60"/>
      <c r="EJ10" s="60"/>
      <c r="EK10" s="60"/>
      <c r="EL10" s="60"/>
      <c r="EM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X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I10" s="60"/>
      <c r="FJ10" s="60"/>
      <c r="FK10" s="60"/>
      <c r="FL10" s="60"/>
      <c r="FM10" s="60"/>
      <c r="FN10" s="60"/>
      <c r="FO10" s="60"/>
      <c r="FP10" s="60"/>
      <c r="FQ10" s="60"/>
      <c r="FR10" s="60"/>
      <c r="FS10" s="60"/>
      <c r="FT10" s="60"/>
      <c r="FU10" s="60"/>
      <c r="FV10" s="60"/>
      <c r="FW10" s="60"/>
      <c r="FX10" s="60"/>
      <c r="FY10" s="60"/>
      <c r="FZ10" s="60"/>
      <c r="GA10" s="60"/>
      <c r="GB10" s="60"/>
      <c r="GC10" s="60"/>
      <c r="GD10" s="60"/>
      <c r="GE10" s="60"/>
      <c r="GF10" s="60"/>
      <c r="GG10" s="60"/>
      <c r="GH10" s="60"/>
      <c r="GI10" s="60"/>
      <c r="GJ10" s="60"/>
      <c r="GK10" s="60"/>
      <c r="GL10" s="60"/>
      <c r="GM10" s="60"/>
      <c r="GN10" s="60"/>
      <c r="GO10" s="60"/>
      <c r="GP10" s="60"/>
      <c r="GQ10" s="60"/>
      <c r="GR10" s="60"/>
      <c r="GS10" s="60"/>
      <c r="GT10" s="60"/>
      <c r="GU10" s="60"/>
      <c r="GV10" s="60"/>
      <c r="GW10" s="60"/>
      <c r="GX10" s="60"/>
      <c r="GY10" s="60"/>
      <c r="GZ10" s="60"/>
      <c r="HA10" s="60"/>
      <c r="HB10" s="60"/>
      <c r="HC10" s="60"/>
      <c r="HD10" s="60"/>
      <c r="HE10" s="60"/>
      <c r="HF10" s="60"/>
      <c r="HG10" s="60"/>
      <c r="HH10" s="60"/>
      <c r="HI10" s="60"/>
      <c r="HJ10" s="60"/>
      <c r="HK10" s="60"/>
      <c r="HL10" s="60"/>
      <c r="HM10" s="60"/>
      <c r="HN10" s="60"/>
      <c r="HO10" s="60"/>
      <c r="HP10" s="60"/>
      <c r="HQ10" s="60"/>
      <c r="HR10" s="60"/>
      <c r="HS10" s="60"/>
      <c r="HT10" s="60"/>
      <c r="HU10" s="60"/>
      <c r="HV10" s="60"/>
      <c r="HW10" s="60"/>
      <c r="HX10" s="60"/>
      <c r="HY10" s="60"/>
      <c r="HZ10" s="60"/>
      <c r="IA10" s="60"/>
      <c r="IB10" s="60"/>
      <c r="IC10" s="60"/>
      <c r="ID10" s="60"/>
      <c r="IE10" s="60"/>
      <c r="IF10" s="60"/>
      <c r="IG10" s="60"/>
      <c r="IH10" s="60"/>
      <c r="II10" s="60"/>
      <c r="IJ10" s="60"/>
      <c r="IK10" s="60"/>
      <c r="IL10" s="60"/>
      <c r="IM10" s="60"/>
      <c r="IN10" s="60"/>
      <c r="IO10" s="60"/>
      <c r="IP10" s="60"/>
      <c r="IQ10" s="60"/>
      <c r="IR10" s="60"/>
      <c r="IS10" s="60"/>
      <c r="IT10" s="60"/>
    </row>
    <row r="11" spans="1:254" ht="12.95" customHeight="1" thickBot="1" x14ac:dyDescent="0.25">
      <c r="A11" s="66" t="s">
        <v>245</v>
      </c>
      <c r="B11" s="84">
        <f>SUM(B12:B19)</f>
        <v>23522000</v>
      </c>
      <c r="C11" s="84">
        <f>SUM(C12:C19)</f>
        <v>23828682.9454</v>
      </c>
      <c r="D11" s="84">
        <f>SUM(D12:D19)</f>
        <v>25282327.919801183</v>
      </c>
      <c r="E11" s="84">
        <f>SUM(E12:E19)</f>
        <v>26783390.293055613</v>
      </c>
    </row>
    <row r="12" spans="1:254" ht="12.95" customHeight="1" x14ac:dyDescent="0.2">
      <c r="A12" s="67" t="s">
        <v>233</v>
      </c>
      <c r="B12" s="85">
        <f>Projeções!E38</f>
        <v>16150000</v>
      </c>
      <c r="C12" s="85">
        <f>Projeções!F38</f>
        <v>16292999.495200001</v>
      </c>
      <c r="D12" s="85">
        <f>Projeções!G38</f>
        <v>17286937.636405181</v>
      </c>
      <c r="E12" s="85">
        <f>Projeções!H38</f>
        <v>18313297.697753828</v>
      </c>
    </row>
    <row r="13" spans="1:254" ht="12.95" customHeight="1" x14ac:dyDescent="0.2">
      <c r="A13" s="67" t="s">
        <v>283</v>
      </c>
      <c r="B13" s="85">
        <f>Projeções!E39</f>
        <v>1950000</v>
      </c>
      <c r="C13" s="85">
        <f>Projeções!F39</f>
        <v>1646480.5048</v>
      </c>
      <c r="D13" s="85">
        <f>Projeções!G39</f>
        <v>1746922.4015148194</v>
      </c>
      <c r="E13" s="85">
        <f>Projeções!H39</f>
        <v>1850640.6783375572</v>
      </c>
    </row>
    <row r="14" spans="1:254" ht="12.95" customHeight="1" x14ac:dyDescent="0.2">
      <c r="A14" s="67" t="s">
        <v>234</v>
      </c>
      <c r="B14" s="85">
        <f>Projeções!E40</f>
        <v>7000</v>
      </c>
      <c r="C14" s="85">
        <f>Projeções!F40</f>
        <v>6762.0763999999999</v>
      </c>
      <c r="D14" s="85">
        <f>Projeções!G40</f>
        <v>7174.5901087056</v>
      </c>
      <c r="E14" s="85">
        <f>Projeções!H40</f>
        <v>7600.5598726396684</v>
      </c>
    </row>
    <row r="15" spans="1:254" ht="12.95" customHeight="1" x14ac:dyDescent="0.2">
      <c r="A15" s="67" t="s">
        <v>235</v>
      </c>
      <c r="B15" s="85">
        <f>Projeções!E53</f>
        <v>4800000</v>
      </c>
      <c r="C15" s="85">
        <f>Projeções!F53</f>
        <v>5199511.4834000003</v>
      </c>
      <c r="D15" s="85">
        <f>Projeções!G53</f>
        <v>5516702.4819333339</v>
      </c>
      <c r="E15" s="85">
        <f>Projeções!H53</f>
        <v>5844240.1416906798</v>
      </c>
    </row>
    <row r="16" spans="1:254" ht="12.95" customHeight="1" x14ac:dyDescent="0.2">
      <c r="A16" s="67" t="s">
        <v>236</v>
      </c>
      <c r="B16" s="85">
        <f>Projeções!E54</f>
        <v>560000</v>
      </c>
      <c r="C16" s="85">
        <f>Projeções!F54</f>
        <v>543978.82819999999</v>
      </c>
      <c r="D16" s="85">
        <f>Projeções!G54</f>
        <v>577163.71263551281</v>
      </c>
      <c r="E16" s="85">
        <f>Projeções!H54</f>
        <v>611431.07658210851</v>
      </c>
    </row>
    <row r="17" spans="1:5" ht="12.95" customHeight="1" x14ac:dyDescent="0.2">
      <c r="A17" s="67" t="s">
        <v>237</v>
      </c>
      <c r="B17" s="85">
        <f>Projeções!E55</f>
        <v>47000</v>
      </c>
      <c r="C17" s="85">
        <f>Projeções!F55</f>
        <v>46889.709400000007</v>
      </c>
      <c r="D17" s="85">
        <f>Projeções!G55</f>
        <v>49750.169232237611</v>
      </c>
      <c r="E17" s="85">
        <f>Projeções!H55</f>
        <v>52703.93627989402</v>
      </c>
    </row>
    <row r="18" spans="1:5" ht="12.95" customHeight="1" x14ac:dyDescent="0.2">
      <c r="A18" s="67" t="s">
        <v>246</v>
      </c>
      <c r="B18" s="85">
        <f>Projeções!E56</f>
        <v>8000</v>
      </c>
      <c r="C18" s="85">
        <f>Projeções!F56</f>
        <v>6175.8042000000005</v>
      </c>
      <c r="D18" s="85">
        <f>Projeções!G56</f>
        <v>6552.5529594168011</v>
      </c>
      <c r="E18" s="85">
        <f>Projeções!H56</f>
        <v>6941.5911337232956</v>
      </c>
    </row>
    <row r="19" spans="1:5" ht="12.95" customHeight="1" x14ac:dyDescent="0.2">
      <c r="A19" s="67" t="s">
        <v>360</v>
      </c>
      <c r="B19" s="85">
        <f>Projeções!E64</f>
        <v>0</v>
      </c>
      <c r="C19" s="85">
        <f>Projeções!F64</f>
        <v>85885.043799999999</v>
      </c>
      <c r="D19" s="85">
        <f>Projeções!G64</f>
        <v>91124.375011975208</v>
      </c>
      <c r="E19" s="85">
        <f>Projeções!H64</f>
        <v>96534.611405186195</v>
      </c>
    </row>
    <row r="20" spans="1:5" ht="12.95" customHeight="1" x14ac:dyDescent="0.2">
      <c r="A20" s="68" t="s">
        <v>238</v>
      </c>
      <c r="B20" s="86">
        <f>Projeções!E112+Projeções!E114</f>
        <v>0</v>
      </c>
      <c r="C20" s="86">
        <f>Projeções!F112+Projeções!F114</f>
        <v>0</v>
      </c>
      <c r="D20" s="86">
        <f>Projeções!G112+Projeções!G114</f>
        <v>0</v>
      </c>
      <c r="E20" s="86">
        <f>Projeções!H112+Projeções!H114</f>
        <v>0</v>
      </c>
    </row>
    <row r="21" spans="1:5" ht="12.95" customHeight="1" thickBot="1" x14ac:dyDescent="0.25">
      <c r="A21" s="67"/>
      <c r="B21" s="85"/>
      <c r="C21" s="85"/>
      <c r="D21" s="85"/>
      <c r="E21" s="85"/>
    </row>
    <row r="22" spans="1:5" ht="12.95" customHeight="1" thickBot="1" x14ac:dyDescent="0.25">
      <c r="A22" s="64" t="s">
        <v>249</v>
      </c>
      <c r="B22" s="87">
        <f>B8+B9+B10+B11+B20</f>
        <v>24512000</v>
      </c>
      <c r="C22" s="87">
        <f>C8+C9+C10+C11+C20</f>
        <v>24937070.477658987</v>
      </c>
      <c r="D22" s="87">
        <f>D8+D9+D10+D11+D20</f>
        <v>26469860.972188655</v>
      </c>
      <c r="E22" s="87">
        <f>E8+E9+E10+E11+E20</f>
        <v>28053763.276111528</v>
      </c>
    </row>
    <row r="23" spans="1:5" ht="12.95" customHeight="1" x14ac:dyDescent="0.2">
      <c r="A23" s="69" t="s">
        <v>239</v>
      </c>
      <c r="B23" s="70"/>
      <c r="C23" s="71"/>
      <c r="D23" s="72"/>
      <c r="E23" s="72"/>
    </row>
    <row r="24" spans="1:5" ht="12.95" customHeight="1" x14ac:dyDescent="0.2">
      <c r="A24" s="73" t="s">
        <v>240</v>
      </c>
      <c r="B24" s="241">
        <v>7.0000000000000007E-2</v>
      </c>
      <c r="C24" s="71"/>
      <c r="D24" s="72"/>
      <c r="E24" s="72"/>
    </row>
    <row r="25" spans="1:5" ht="12.95" customHeight="1" x14ac:dyDescent="0.2">
      <c r="A25" s="74" t="s">
        <v>241</v>
      </c>
      <c r="B25" s="89"/>
      <c r="C25" s="89"/>
      <c r="D25" s="89"/>
      <c r="E25" s="89"/>
    </row>
    <row r="26" spans="1:5" ht="12.95" customHeight="1" x14ac:dyDescent="0.2">
      <c r="A26" s="75" t="str">
        <f>CONCATENATE("Legislativo Total ",TEXT(B24,"0,0%")," da RAEA")</f>
        <v>Legislativo Total 7,0% da RAEA</v>
      </c>
      <c r="B26" s="88">
        <f>+B22*$B$24</f>
        <v>1715840.0000000002</v>
      </c>
      <c r="C26" s="88">
        <f>+C22*$B$24</f>
        <v>1745594.9334361292</v>
      </c>
      <c r="D26" s="88">
        <f>+D22*$B$24</f>
        <v>1852890.2680532061</v>
      </c>
      <c r="E26" s="88">
        <f>+E22*$B$24</f>
        <v>1963763.4293278072</v>
      </c>
    </row>
    <row r="27" spans="1:5" ht="12.95" customHeight="1" x14ac:dyDescent="0.2">
      <c r="A27" s="76" t="s">
        <v>250</v>
      </c>
      <c r="B27" s="88">
        <f>+B26*70%</f>
        <v>1201088</v>
      </c>
      <c r="C27" s="88">
        <f>+C26*70%</f>
        <v>1221916.4534052904</v>
      </c>
      <c r="D27" s="88">
        <f>+D26*70%</f>
        <v>1297023.1876372441</v>
      </c>
      <c r="E27" s="88">
        <f>+E26*70%</f>
        <v>1374634.4005294649</v>
      </c>
    </row>
    <row r="28" spans="1:5" ht="12.95" customHeight="1" x14ac:dyDescent="0.2">
      <c r="A28" s="77"/>
      <c r="B28" s="78"/>
      <c r="C28" s="79"/>
      <c r="D28" s="80"/>
      <c r="E28" s="80"/>
    </row>
    <row r="29" spans="1:5" ht="12.95" customHeight="1" x14ac:dyDescent="0.2">
      <c r="A29" s="90" t="s">
        <v>247</v>
      </c>
      <c r="B29" s="95">
        <f>Parâmetros!C10</f>
        <v>2026</v>
      </c>
      <c r="C29" s="95">
        <f>B29+1</f>
        <v>2027</v>
      </c>
      <c r="D29" s="95">
        <f>C29+1</f>
        <v>2028</v>
      </c>
      <c r="E29" s="95">
        <f>D29+1</f>
        <v>2029</v>
      </c>
    </row>
    <row r="30" spans="1:5" ht="12.95" customHeight="1" x14ac:dyDescent="0.2">
      <c r="A30" s="96"/>
      <c r="B30" s="91"/>
      <c r="C30" s="91"/>
      <c r="D30" s="91"/>
      <c r="E30" s="91"/>
    </row>
    <row r="31" spans="1:5" s="62" customFormat="1" ht="12.95" customHeight="1" x14ac:dyDescent="0.2">
      <c r="A31" s="97" t="str">
        <f>Projeções!B128</f>
        <v>Pessoal e Encargos Sociais</v>
      </c>
      <c r="B31" s="92">
        <f>Projeções!F129</f>
        <v>618735.44058717659</v>
      </c>
      <c r="C31" s="92">
        <f>Projeções!G129</f>
        <v>646947.96929830173</v>
      </c>
      <c r="D31" s="92">
        <f>Projeções!H129</f>
        <v>681300.80725028517</v>
      </c>
      <c r="E31" s="92">
        <f>Projeções!I129</f>
        <v>728911.62217095424</v>
      </c>
    </row>
    <row r="32" spans="1:5" s="62" customFormat="1" ht="12.95" customHeight="1" x14ac:dyDescent="0.2">
      <c r="A32" s="97" t="str">
        <f>Projeções!B135</f>
        <v>Juros e Encargos da Dívida</v>
      </c>
      <c r="B32" s="92">
        <f>Projeções!F136</f>
        <v>0</v>
      </c>
      <c r="C32" s="92">
        <f>Projeções!G136</f>
        <v>0</v>
      </c>
      <c r="D32" s="92">
        <f>Projeções!H136</f>
        <v>0</v>
      </c>
      <c r="E32" s="92">
        <f>Projeções!I136</f>
        <v>0</v>
      </c>
    </row>
    <row r="33" spans="1:5" s="62" customFormat="1" ht="12.95" customHeight="1" x14ac:dyDescent="0.2">
      <c r="A33" s="97" t="str">
        <f>Projeções!B142</f>
        <v>Outros Benefícios Assistênciais do Servidor e do Militar</v>
      </c>
      <c r="B33" s="92">
        <f>Projeções!F143</f>
        <v>0</v>
      </c>
      <c r="C33" s="92">
        <f>Projeções!G143</f>
        <v>0</v>
      </c>
      <c r="D33" s="92">
        <f>Projeções!H143</f>
        <v>0</v>
      </c>
      <c r="E33" s="92">
        <f>Projeções!I143</f>
        <v>0</v>
      </c>
    </row>
    <row r="34" spans="1:5" s="62" customFormat="1" ht="12.95" customHeight="1" x14ac:dyDescent="0.2">
      <c r="A34" s="97" t="str">
        <f>Projeções!B149</f>
        <v>Auxílio - Alimentação</v>
      </c>
      <c r="B34" s="92">
        <f>Projeções!F150</f>
        <v>20805.213964726041</v>
      </c>
      <c r="C34" s="92">
        <f>Projeções!G150</f>
        <v>22952.63043921968</v>
      </c>
      <c r="D34" s="92">
        <f>Projeções!H150</f>
        <v>24750.503265241303</v>
      </c>
      <c r="E34" s="92">
        <f>Projeções!I150</f>
        <v>27087.148380176357</v>
      </c>
    </row>
    <row r="35" spans="1:5" s="62" customFormat="1" ht="12.95" customHeight="1" x14ac:dyDescent="0.2">
      <c r="A35" s="97" t="str">
        <f>Projeções!B156</f>
        <v>Obrigações Tributárias e Contributivas</v>
      </c>
      <c r="B35" s="92">
        <f>Projeções!F157</f>
        <v>0</v>
      </c>
      <c r="C35" s="92">
        <f>Projeções!G157</f>
        <v>0</v>
      </c>
      <c r="D35" s="92">
        <f>Projeções!H157</f>
        <v>0</v>
      </c>
      <c r="E35" s="92">
        <f>Projeções!I157</f>
        <v>0</v>
      </c>
    </row>
    <row r="36" spans="1:5" s="62" customFormat="1" ht="12.95" customHeight="1" x14ac:dyDescent="0.2">
      <c r="A36" s="97" t="str">
        <f>Projeções!B163</f>
        <v>Sentenças Judiciais  (Exceto Precatórios de Pessoal)</v>
      </c>
      <c r="B36" s="92">
        <f>Projeções!F164</f>
        <v>0</v>
      </c>
      <c r="C36" s="92">
        <f>Projeções!G164</f>
        <v>0</v>
      </c>
      <c r="D36" s="92">
        <f>Projeções!H164</f>
        <v>0</v>
      </c>
      <c r="E36" s="92">
        <f>Projeções!I164</f>
        <v>0</v>
      </c>
    </row>
    <row r="37" spans="1:5" s="62" customFormat="1" ht="12.95" customHeight="1" x14ac:dyDescent="0.2">
      <c r="A37" s="97" t="str">
        <f>Projeções!B170</f>
        <v>Indenizações e Restituições</v>
      </c>
      <c r="B37" s="92">
        <f>Projeções!F171+Projeções!F178</f>
        <v>0</v>
      </c>
      <c r="C37" s="92">
        <f>Projeções!G171+Projeções!G178</f>
        <v>0</v>
      </c>
      <c r="D37" s="92">
        <f>Projeções!H171+Projeções!H178</f>
        <v>0</v>
      </c>
      <c r="E37" s="92">
        <f>Projeções!I171+Projeções!I178</f>
        <v>0</v>
      </c>
    </row>
    <row r="38" spans="1:5" s="62" customFormat="1" ht="12.95" customHeight="1" x14ac:dyDescent="0.2">
      <c r="A38" s="97" t="str">
        <f>Projeções!B184</f>
        <v>Amortização da Dívida</v>
      </c>
      <c r="B38" s="92">
        <f>Projeções!F185</f>
        <v>0</v>
      </c>
      <c r="C38" s="92">
        <f>Projeções!G185</f>
        <v>0</v>
      </c>
      <c r="D38" s="92">
        <f>Projeções!H185</f>
        <v>0</v>
      </c>
      <c r="E38" s="92">
        <f>Projeções!I185</f>
        <v>0</v>
      </c>
    </row>
    <row r="39" spans="1:5" s="62" customFormat="1" ht="12.95" customHeight="1" x14ac:dyDescent="0.2">
      <c r="A39" s="98" t="s">
        <v>251</v>
      </c>
      <c r="B39" s="93">
        <f>B31+B32+B33+B34+B35+B36+B37+B38</f>
        <v>639540.65455190267</v>
      </c>
      <c r="C39" s="93">
        <f>C31+C32+C33+C34+C35+C36+C37+C38</f>
        <v>669900.59973752138</v>
      </c>
      <c r="D39" s="93">
        <f>D31+D32+D33+D34+D35+D36+D37+D38</f>
        <v>706051.31051552645</v>
      </c>
      <c r="E39" s="93">
        <f>E31+E32+E33+E34+E35+E36+E37+E38</f>
        <v>755998.77055113064</v>
      </c>
    </row>
    <row r="40" spans="1:5" s="62" customFormat="1" ht="12.95" customHeight="1" x14ac:dyDescent="0.2">
      <c r="A40" s="239" t="s">
        <v>248</v>
      </c>
      <c r="B40" s="240">
        <f>B26-B39</f>
        <v>1076299.3454480977</v>
      </c>
      <c r="C40" s="240">
        <f>C26-C39</f>
        <v>1075694.333698608</v>
      </c>
      <c r="D40" s="240">
        <f>D26-D39</f>
        <v>1146838.9575376797</v>
      </c>
      <c r="E40" s="240">
        <f>E26-E39</f>
        <v>1207764.6587766765</v>
      </c>
    </row>
    <row r="41" spans="1:5" ht="12.95" customHeight="1" x14ac:dyDescent="0.2">
      <c r="A41" s="61"/>
      <c r="B41" s="61"/>
      <c r="C41" s="61"/>
      <c r="D41" s="61"/>
      <c r="E41" s="61"/>
    </row>
    <row r="42" spans="1:5" ht="12.95" customHeight="1" x14ac:dyDescent="0.2"/>
    <row r="43" spans="1:5" ht="12.95" customHeight="1" x14ac:dyDescent="0.2"/>
    <row r="44" spans="1:5" ht="12.95" customHeight="1" x14ac:dyDescent="0.2"/>
    <row r="45" spans="1:5" ht="12.95" customHeight="1" x14ac:dyDescent="0.2"/>
    <row r="46" spans="1:5" ht="12.95" customHeight="1" x14ac:dyDescent="0.2"/>
    <row r="47" spans="1:5" ht="12.95" customHeight="1" x14ac:dyDescent="0.2"/>
    <row r="48" spans="1:5" ht="12.95" customHeight="1" x14ac:dyDescent="0.2"/>
    <row r="49" ht="12.95" customHeight="1" x14ac:dyDescent="0.2"/>
    <row r="50" ht="12.95" customHeight="1" x14ac:dyDescent="0.2"/>
    <row r="51" ht="12.95" customHeight="1" x14ac:dyDescent="0.2"/>
    <row r="52" ht="12.95" customHeight="1" x14ac:dyDescent="0.2"/>
    <row r="53" ht="12.95" customHeight="1" x14ac:dyDescent="0.2"/>
    <row r="54" ht="12.95" customHeight="1" x14ac:dyDescent="0.2"/>
    <row r="55" ht="12.95" customHeight="1" x14ac:dyDescent="0.2"/>
    <row r="56" ht="12.95" customHeight="1" x14ac:dyDescent="0.2"/>
    <row r="57" ht="12.95" customHeight="1" x14ac:dyDescent="0.2"/>
    <row r="58" ht="12.95" customHeight="1" x14ac:dyDescent="0.2"/>
    <row r="59" ht="12.95" customHeight="1" x14ac:dyDescent="0.2"/>
    <row r="60" ht="12.95" customHeight="1" x14ac:dyDescent="0.2"/>
    <row r="61" ht="12.95" customHeight="1" x14ac:dyDescent="0.2"/>
    <row r="62" ht="12.95" customHeight="1" x14ac:dyDescent="0.2"/>
    <row r="63" ht="12.95" customHeight="1" x14ac:dyDescent="0.2"/>
    <row r="64" ht="12.95" customHeight="1" x14ac:dyDescent="0.2"/>
    <row r="65" ht="12.95" customHeight="1" x14ac:dyDescent="0.2"/>
    <row r="66" ht="12.95" customHeight="1" x14ac:dyDescent="0.2"/>
    <row r="67" ht="12.95" customHeight="1" x14ac:dyDescent="0.2"/>
    <row r="68" ht="12.95" customHeight="1" x14ac:dyDescent="0.2"/>
    <row r="69" ht="12.95" customHeight="1" x14ac:dyDescent="0.2"/>
    <row r="70" ht="12.95" customHeight="1" x14ac:dyDescent="0.2"/>
    <row r="71" ht="12.95" customHeight="1" x14ac:dyDescent="0.2"/>
    <row r="72" ht="12.95" customHeight="1" x14ac:dyDescent="0.2"/>
    <row r="73" ht="12.95" customHeight="1" x14ac:dyDescent="0.2"/>
    <row r="74" ht="12.95" customHeight="1" x14ac:dyDescent="0.2"/>
    <row r="75" ht="12.95" customHeight="1" x14ac:dyDescent="0.2"/>
    <row r="76" ht="12.95" customHeight="1" x14ac:dyDescent="0.2"/>
    <row r="77" ht="12.95" customHeight="1" x14ac:dyDescent="0.2"/>
    <row r="78" ht="12.95" customHeight="1" x14ac:dyDescent="0.2"/>
    <row r="79" ht="12.95" customHeight="1" x14ac:dyDescent="0.2"/>
    <row r="80" ht="12.95" customHeight="1" x14ac:dyDescent="0.2"/>
    <row r="81" ht="12.95" customHeight="1" x14ac:dyDescent="0.2"/>
    <row r="82" ht="12.95" customHeight="1" x14ac:dyDescent="0.2"/>
    <row r="83" ht="12.95" customHeight="1" x14ac:dyDescent="0.2"/>
    <row r="84" ht="12.95" customHeight="1" x14ac:dyDescent="0.2"/>
    <row r="85" ht="12.95" customHeight="1" x14ac:dyDescent="0.2"/>
    <row r="86" ht="12.95" customHeight="1" x14ac:dyDescent="0.2"/>
    <row r="87" ht="12.95" customHeight="1" x14ac:dyDescent="0.2"/>
    <row r="88" ht="12.95" customHeight="1" x14ac:dyDescent="0.2"/>
    <row r="89" ht="12.95" customHeight="1" x14ac:dyDescent="0.2"/>
    <row r="90" ht="12.95" customHeight="1" x14ac:dyDescent="0.2"/>
    <row r="91" ht="12.95" customHeight="1" x14ac:dyDescent="0.2"/>
    <row r="92" ht="12.95" customHeight="1" x14ac:dyDescent="0.2"/>
    <row r="93" ht="12.95" customHeight="1" x14ac:dyDescent="0.2"/>
    <row r="94" ht="12.95" customHeight="1" x14ac:dyDescent="0.2"/>
    <row r="95" ht="12.95" customHeight="1" x14ac:dyDescent="0.2"/>
    <row r="96" ht="12.95" customHeight="1" x14ac:dyDescent="0.2"/>
    <row r="97" ht="12.95" customHeight="1" x14ac:dyDescent="0.2"/>
    <row r="98" ht="12.95" customHeight="1" x14ac:dyDescent="0.2"/>
    <row r="99" ht="12.95" customHeight="1" x14ac:dyDescent="0.2"/>
    <row r="100" ht="12.95" customHeight="1" x14ac:dyDescent="0.2"/>
    <row r="101" ht="12.95" customHeight="1" x14ac:dyDescent="0.2"/>
    <row r="102" ht="12.95" customHeight="1" x14ac:dyDescent="0.2"/>
    <row r="103" ht="12.95" customHeight="1" x14ac:dyDescent="0.2"/>
    <row r="104" ht="12.95" customHeight="1" x14ac:dyDescent="0.2"/>
    <row r="105" ht="12.95" customHeight="1" x14ac:dyDescent="0.2"/>
    <row r="106" ht="12.95" customHeight="1" x14ac:dyDescent="0.2"/>
    <row r="107" ht="12.95" customHeight="1" x14ac:dyDescent="0.2"/>
  </sheetData>
  <mergeCells count="10">
    <mergeCell ref="A1:E1"/>
    <mergeCell ref="A2:E2"/>
    <mergeCell ref="A3:E3"/>
    <mergeCell ref="A5:A6"/>
    <mergeCell ref="B5:E5"/>
    <mergeCell ref="A4:E4"/>
    <mergeCell ref="B6:B7"/>
    <mergeCell ref="C6:C7"/>
    <mergeCell ref="D6:D7"/>
    <mergeCell ref="E6:E7"/>
  </mergeCells>
  <pageMargins left="0.511811024" right="0.511811024" top="0.78740157499999996" bottom="0.78740157499999996" header="0.31496062000000002" footer="0.31496062000000002"/>
  <pageSetup paperSize="9" scale="9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34EF8-633B-4882-A958-D2FFB89420EA}">
  <sheetPr>
    <pageSetUpPr fitToPage="1"/>
  </sheetPr>
  <dimension ref="A1:E90"/>
  <sheetViews>
    <sheetView workbookViewId="0">
      <selection activeCell="A36" sqref="A36"/>
    </sheetView>
  </sheetViews>
  <sheetFormatPr defaultRowHeight="12.75" x14ac:dyDescent="0.2"/>
  <cols>
    <col min="1" max="1" width="80.42578125" style="59" customWidth="1"/>
    <col min="2" max="2" width="16.7109375" style="59" customWidth="1"/>
    <col min="3" max="3" width="15.28515625" style="59" customWidth="1"/>
    <col min="4" max="4" width="15" style="100" customWidth="1"/>
    <col min="5" max="5" width="15.85546875" style="59" customWidth="1"/>
    <col min="6" max="16384" width="9.140625" style="59"/>
  </cols>
  <sheetData>
    <row r="1" spans="1:5" s="57" customFormat="1" ht="12.95" customHeight="1" x14ac:dyDescent="0.2">
      <c r="A1" s="283" t="str">
        <f>Parâmetros!A7</f>
        <v>Município de Arroio do Padre / RS</v>
      </c>
      <c r="B1" s="263"/>
      <c r="C1" s="263"/>
      <c r="D1" s="263"/>
      <c r="E1" s="263"/>
    </row>
    <row r="2" spans="1:5" s="57" customFormat="1" ht="12.95" customHeight="1" x14ac:dyDescent="0.2">
      <c r="A2" s="283" t="str">
        <f>Parâmetros!A8</f>
        <v>PLANO PLURIANUAL 2026 - 2029</v>
      </c>
      <c r="B2" s="263"/>
      <c r="C2" s="263"/>
      <c r="D2" s="263"/>
      <c r="E2" s="263"/>
    </row>
    <row r="3" spans="1:5" ht="35.25" customHeight="1" x14ac:dyDescent="0.25">
      <c r="A3" s="290" t="s">
        <v>400</v>
      </c>
      <c r="B3" s="291"/>
      <c r="C3" s="291"/>
      <c r="D3" s="291"/>
      <c r="E3" s="291"/>
    </row>
    <row r="4" spans="1:5" ht="12.95" customHeight="1" x14ac:dyDescent="0.2">
      <c r="A4" s="104"/>
      <c r="B4" s="104"/>
      <c r="C4" s="104"/>
      <c r="D4" s="72"/>
      <c r="E4" s="105"/>
    </row>
    <row r="5" spans="1:5" ht="12.95" customHeight="1" x14ac:dyDescent="0.2">
      <c r="A5" s="106" t="s">
        <v>252</v>
      </c>
      <c r="B5" s="292"/>
      <c r="C5" s="292"/>
      <c r="D5" s="292"/>
      <c r="E5" s="292"/>
    </row>
    <row r="6" spans="1:5" ht="12.95" customHeight="1" x14ac:dyDescent="0.2">
      <c r="A6" s="119" t="s">
        <v>253</v>
      </c>
      <c r="B6" s="201">
        <f>Parâmetros!C10</f>
        <v>2026</v>
      </c>
      <c r="C6" s="204">
        <f>B6+1</f>
        <v>2027</v>
      </c>
      <c r="D6" s="204">
        <f>C6+1</f>
        <v>2028</v>
      </c>
      <c r="E6" s="204">
        <f>D6+1</f>
        <v>2029</v>
      </c>
    </row>
    <row r="7" spans="1:5" ht="12.95" customHeight="1" x14ac:dyDescent="0.2">
      <c r="A7" s="200" t="s">
        <v>257</v>
      </c>
      <c r="B7" s="202">
        <f>Projeções!F9</f>
        <v>1108387.5322589867</v>
      </c>
      <c r="C7" s="202">
        <f>Projeções!G9</f>
        <v>1187533.052387472</v>
      </c>
      <c r="D7" s="202">
        <f>Projeções!H9</f>
        <v>1270372.9830559173</v>
      </c>
      <c r="E7" s="202">
        <f>Projeções!I9</f>
        <v>1358599.1163561677</v>
      </c>
    </row>
    <row r="8" spans="1:5" ht="12.95" customHeight="1" x14ac:dyDescent="0.2">
      <c r="A8" s="200" t="s">
        <v>258</v>
      </c>
      <c r="B8" s="114">
        <f>Projeções!F38+Projeções!F39+Projeções!F40</f>
        <v>17946242.076400001</v>
      </c>
      <c r="C8" s="114">
        <f>Projeções!G38+Projeções!G39+Projeções!G40</f>
        <v>19041034.628028706</v>
      </c>
      <c r="D8" s="114">
        <f>Projeções!H38+Projeções!H39+Projeções!H40</f>
        <v>20171538.935964022</v>
      </c>
      <c r="E8" s="114">
        <f>Projeções!I38+Projeções!I39+Projeções!I40</f>
        <v>21362991.05475568</v>
      </c>
    </row>
    <row r="9" spans="1:5" ht="12.95" customHeight="1" x14ac:dyDescent="0.2">
      <c r="A9" s="200" t="s">
        <v>259</v>
      </c>
      <c r="B9" s="114">
        <f>Projeções!F53+Projeções!F54+Projeções!F55+Projeções!F64</f>
        <v>5876265.0648000007</v>
      </c>
      <c r="C9" s="114">
        <f>Projeções!G53+Projeções!G54+Projeções!G55+Projeções!G64</f>
        <v>6234740.7388130585</v>
      </c>
      <c r="D9" s="114">
        <f>Projeções!H53+Projeções!H54+Projeções!H55+Projeções!H64</f>
        <v>6604909.7659578687</v>
      </c>
      <c r="E9" s="114">
        <f>Projeções!I53+Projeções!I54+Projeções!I55+Projeções!I64</f>
        <v>6995035.3661939362</v>
      </c>
    </row>
    <row r="10" spans="1:5" ht="12.95" customHeight="1" x14ac:dyDescent="0.2">
      <c r="A10" s="209" t="s">
        <v>372</v>
      </c>
      <c r="B10" s="110">
        <f>Projeções!F112</f>
        <v>0</v>
      </c>
      <c r="C10" s="110">
        <f>Projeções!G112</f>
        <v>0</v>
      </c>
      <c r="D10" s="110">
        <f>Projeções!H112</f>
        <v>0</v>
      </c>
      <c r="E10" s="110">
        <f>Projeções!I112</f>
        <v>0</v>
      </c>
    </row>
    <row r="11" spans="1:5" ht="12.95" customHeight="1" x14ac:dyDescent="0.2">
      <c r="A11" s="203"/>
      <c r="B11" s="110"/>
      <c r="C11" s="110"/>
      <c r="D11" s="110"/>
      <c r="E11" s="110"/>
    </row>
    <row r="12" spans="1:5" ht="12.95" customHeight="1" x14ac:dyDescent="0.2">
      <c r="A12" s="206" t="s">
        <v>366</v>
      </c>
      <c r="B12" s="113">
        <f>(SUM(B7:B11))*0.25</f>
        <v>6232723.6683647474</v>
      </c>
      <c r="C12" s="113">
        <f>(SUM(C7:C11))*0.25</f>
        <v>6615827.1048073089</v>
      </c>
      <c r="D12" s="113">
        <f>(SUM(D7:D11))*0.25</f>
        <v>7011705.4212444518</v>
      </c>
      <c r="E12" s="113">
        <f>(SUM(E7:E11))*0.25</f>
        <v>7429156.3843264459</v>
      </c>
    </row>
    <row r="13" spans="1:5" ht="12.95" customHeight="1" x14ac:dyDescent="0.2">
      <c r="A13" s="122"/>
      <c r="B13" s="109"/>
      <c r="C13" s="111"/>
      <c r="D13" s="111"/>
      <c r="E13" s="123"/>
    </row>
    <row r="14" spans="1:5" ht="12.95" customHeight="1" x14ac:dyDescent="0.2">
      <c r="A14" s="117" t="s">
        <v>265</v>
      </c>
      <c r="B14" s="115">
        <f>Projeções!F22</f>
        <v>86489.794107666676</v>
      </c>
      <c r="C14" s="115">
        <f>Projeções!G22</f>
        <v>89966.683830794878</v>
      </c>
      <c r="D14" s="115">
        <f>Projeções!H22</f>
        <v>93439.397826663553</v>
      </c>
      <c r="E14" s="116">
        <f>Projeções!I22</f>
        <v>97018.126763424763</v>
      </c>
    </row>
    <row r="15" spans="1:5" ht="12.95" customHeight="1" x14ac:dyDescent="0.2">
      <c r="A15" s="117" t="s">
        <v>367</v>
      </c>
      <c r="B15" s="115">
        <f>Projeções!F43+Projeções!F85</f>
        <v>457442.35119999998</v>
      </c>
      <c r="C15" s="115">
        <f>Projeções!G43+Projeções!G85</f>
        <v>485348.16439260478</v>
      </c>
      <c r="D15" s="115">
        <f>Projeções!H43+Projeções!H85</f>
        <v>514164.25560892251</v>
      </c>
      <c r="E15" s="116">
        <f>Projeções!I43+Projeções!I85</f>
        <v>544533.88153071911</v>
      </c>
    </row>
    <row r="16" spans="1:5" ht="12.95" customHeight="1" x14ac:dyDescent="0.2">
      <c r="A16" s="117" t="s">
        <v>368</v>
      </c>
      <c r="B16" s="115">
        <f>Projeções!F48+Projeções!F88</f>
        <v>0</v>
      </c>
      <c r="C16" s="115">
        <f>Projeções!G48+Projeções!G88</f>
        <v>0</v>
      </c>
      <c r="D16" s="115">
        <f>Projeções!H48+Projeções!H88</f>
        <v>0</v>
      </c>
      <c r="E16" s="116">
        <f>Projeções!I48+Projeções!I88</f>
        <v>0</v>
      </c>
    </row>
    <row r="17" spans="1:5" ht="12.95" customHeight="1" x14ac:dyDescent="0.2">
      <c r="A17" s="117" t="s">
        <v>374</v>
      </c>
      <c r="B17" s="115">
        <f>Projeções!F60+Projeções!F94</f>
        <v>455738.29666666663</v>
      </c>
      <c r="C17" s="115">
        <f>Projeções!G60+Projeções!G94</f>
        <v>483540.15571651998</v>
      </c>
      <c r="D17" s="115">
        <f>Projeções!H60+Projeções!H94</f>
        <v>512248.90184172121</v>
      </c>
      <c r="E17" s="116">
        <f>Projeções!I60+Projeções!I94</f>
        <v>542505.39547790436</v>
      </c>
    </row>
    <row r="18" spans="1:5" ht="12.95" customHeight="1" x14ac:dyDescent="0.2">
      <c r="A18" s="117" t="s">
        <v>369</v>
      </c>
      <c r="B18" s="115">
        <f>Projeções!F66</f>
        <v>0</v>
      </c>
      <c r="C18" s="115">
        <f>Projeções!G66</f>
        <v>0</v>
      </c>
      <c r="D18" s="115">
        <f>Projeções!H66</f>
        <v>0</v>
      </c>
      <c r="E18" s="116">
        <f>Projeções!I66</f>
        <v>0</v>
      </c>
    </row>
    <row r="19" spans="1:5" ht="12.95" customHeight="1" x14ac:dyDescent="0.2">
      <c r="A19" s="117" t="s">
        <v>370</v>
      </c>
      <c r="B19" s="115">
        <f>Projeções!F44+Projeções!F45+Projeções!F70</f>
        <v>3982700.9404000002</v>
      </c>
      <c r="C19" s="115">
        <f>Projeções!G44+Projeções!G45+Projeções!G70</f>
        <v>4065557.050764082</v>
      </c>
      <c r="D19" s="115">
        <f>Projeções!H44+Projeções!H45+Projeções!H70</f>
        <v>4150006.8018225534</v>
      </c>
      <c r="E19" s="116">
        <f>Projeções!I44+Projeções!I45+Projeções!I70</f>
        <v>4236185.8430692004</v>
      </c>
    </row>
    <row r="20" spans="1:5" ht="12.95" customHeight="1" x14ac:dyDescent="0.2">
      <c r="A20" s="207" t="s">
        <v>371</v>
      </c>
      <c r="B20" s="208">
        <f>Projeções!F113</f>
        <v>-4435205.3272799999</v>
      </c>
      <c r="C20" s="208">
        <f>Projeções!G113</f>
        <v>-4705770.5930653894</v>
      </c>
      <c r="D20" s="208">
        <f>Projeções!H113</f>
        <v>-4985161.6047168663</v>
      </c>
      <c r="E20" s="215">
        <f>Projeções!I113</f>
        <v>-5279615.1600610735</v>
      </c>
    </row>
    <row r="21" spans="1:5" ht="12.95" customHeight="1" x14ac:dyDescent="0.2">
      <c r="A21" s="125" t="s">
        <v>254</v>
      </c>
      <c r="B21" s="126">
        <f>B12+B14+B15+B16+B17+B18+B19+B20</f>
        <v>6779889.7234590817</v>
      </c>
      <c r="C21" s="126">
        <f>C12+C14+C15+C16+C17+C18+C19+C20</f>
        <v>7034468.5664459197</v>
      </c>
      <c r="D21" s="126">
        <f>D12+D14+D15+D16+D17+D18+D19+D20</f>
        <v>7296403.1736274464</v>
      </c>
      <c r="E21" s="126">
        <f>E12+E14+E15+E16+E17+E18+E19+E20</f>
        <v>7569784.4711066214</v>
      </c>
    </row>
    <row r="22" spans="1:5" ht="12.95" customHeight="1" x14ac:dyDescent="0.2">
      <c r="A22" s="107"/>
      <c r="B22" s="108"/>
      <c r="C22" s="108"/>
      <c r="D22" s="108"/>
      <c r="E22" s="108"/>
    </row>
    <row r="23" spans="1:5" ht="12.95" customHeight="1" x14ac:dyDescent="0.2">
      <c r="A23" s="90" t="s">
        <v>255</v>
      </c>
      <c r="B23" s="95">
        <f>B6</f>
        <v>2026</v>
      </c>
      <c r="C23" s="95">
        <f>B23+1</f>
        <v>2027</v>
      </c>
      <c r="D23" s="95">
        <f>C23+1</f>
        <v>2028</v>
      </c>
      <c r="E23" s="95">
        <f>D23+1</f>
        <v>2029</v>
      </c>
    </row>
    <row r="24" spans="1:5" ht="12.95" customHeight="1" x14ac:dyDescent="0.2">
      <c r="A24" s="97" t="str">
        <f>Projeções!B131</f>
        <v>Pessoal e Encargos Sociais - Educação</v>
      </c>
      <c r="B24" s="103">
        <f>Projeções!F131</f>
        <v>4756979.7997200359</v>
      </c>
      <c r="C24" s="103">
        <f>Projeções!G131</f>
        <v>5046603.8654423105</v>
      </c>
      <c r="D24" s="103">
        <f>Projeções!H131</f>
        <v>5302175.3426973764</v>
      </c>
      <c r="E24" s="103">
        <f>Projeções!I131</f>
        <v>5655291.5044892514</v>
      </c>
    </row>
    <row r="25" spans="1:5" ht="12.95" customHeight="1" x14ac:dyDescent="0.2">
      <c r="A25" s="97" t="str">
        <f>Projeções!B138</f>
        <v>Juros e Encargos da Dívida - Educação</v>
      </c>
      <c r="B25" s="92">
        <f>Projeções!F138</f>
        <v>0</v>
      </c>
      <c r="C25" s="92">
        <f>Projeções!G138</f>
        <v>0</v>
      </c>
      <c r="D25" s="92">
        <f>Projeções!H138</f>
        <v>0</v>
      </c>
      <c r="E25" s="92">
        <f>Projeções!I138</f>
        <v>0</v>
      </c>
    </row>
    <row r="26" spans="1:5" ht="12.95" customHeight="1" x14ac:dyDescent="0.2">
      <c r="A26" s="97" t="str">
        <f>Projeções!B145</f>
        <v>Outros Benef.Assistênciais - Educação</v>
      </c>
      <c r="B26" s="92">
        <f>Projeções!F145</f>
        <v>0</v>
      </c>
      <c r="C26" s="92">
        <f>Projeções!G145</f>
        <v>0</v>
      </c>
      <c r="D26" s="92">
        <f>Projeções!H145</f>
        <v>0</v>
      </c>
      <c r="E26" s="92">
        <f>Projeções!I145</f>
        <v>0</v>
      </c>
    </row>
    <row r="27" spans="1:5" ht="12.95" customHeight="1" x14ac:dyDescent="0.2">
      <c r="A27" s="97" t="str">
        <f>Projeções!B152</f>
        <v>Auxílio - Alimentação - Educação</v>
      </c>
      <c r="B27" s="92">
        <f>Projeções!F152</f>
        <v>592204.23505164962</v>
      </c>
      <c r="C27" s="92">
        <f>Projeções!G152</f>
        <v>672932.44812392246</v>
      </c>
      <c r="D27" s="92">
        <f>Projeções!H152</f>
        <v>722328.02666585124</v>
      </c>
      <c r="E27" s="92">
        <f>Projeções!I152</f>
        <v>785813.01881335583</v>
      </c>
    </row>
    <row r="28" spans="1:5" ht="12.95" customHeight="1" x14ac:dyDescent="0.2">
      <c r="A28" s="97" t="str">
        <f>Projeções!B159</f>
        <v>Obrigações Tributárias e Contributivas - Educação</v>
      </c>
      <c r="B28" s="92">
        <f>Projeções!F159</f>
        <v>0</v>
      </c>
      <c r="C28" s="92">
        <f>Projeções!G159</f>
        <v>0</v>
      </c>
      <c r="D28" s="92">
        <f>Projeções!H159</f>
        <v>0</v>
      </c>
      <c r="E28" s="92">
        <f>Projeções!I159</f>
        <v>0</v>
      </c>
    </row>
    <row r="29" spans="1:5" ht="12.95" customHeight="1" x14ac:dyDescent="0.2">
      <c r="A29" s="97" t="str">
        <f>Projeções!B166</f>
        <v>Sentenças Judiciais - Educação</v>
      </c>
      <c r="B29" s="92">
        <f>Projeções!F166</f>
        <v>0</v>
      </c>
      <c r="C29" s="92">
        <f>Projeções!G166</f>
        <v>0</v>
      </c>
      <c r="D29" s="92">
        <f>Projeções!H166</f>
        <v>0</v>
      </c>
      <c r="E29" s="92">
        <f>Projeções!I166</f>
        <v>0</v>
      </c>
    </row>
    <row r="30" spans="1:5" ht="12.95" customHeight="1" x14ac:dyDescent="0.2">
      <c r="A30" s="97" t="str">
        <f>Projeções!B173</f>
        <v>Indenizações e Restituições - Educação</v>
      </c>
      <c r="B30" s="92">
        <f>Projeções!F173+Projeções!F180</f>
        <v>454.220709</v>
      </c>
      <c r="C30" s="92">
        <f>Projeções!G173+Projeções!G180</f>
        <v>421.15988916726667</v>
      </c>
      <c r="D30" s="92">
        <f>Projeções!H173+Projeções!H180</f>
        <v>476.15676308550775</v>
      </c>
      <c r="E30" s="92">
        <f>Projeções!I173+Projeções!I180</f>
        <v>467.76708072958525</v>
      </c>
    </row>
    <row r="31" spans="1:5" ht="12.95" customHeight="1" x14ac:dyDescent="0.2">
      <c r="A31" s="97" t="str">
        <f>Projeções!B187</f>
        <v>Amortização da Dívida - Educação</v>
      </c>
      <c r="B31" s="92">
        <f>Projeções!F187</f>
        <v>0</v>
      </c>
      <c r="C31" s="92">
        <f>Projeções!G187</f>
        <v>0</v>
      </c>
      <c r="D31" s="92">
        <f>Projeções!H187</f>
        <v>0</v>
      </c>
      <c r="E31" s="92">
        <f>Projeções!I187</f>
        <v>0</v>
      </c>
    </row>
    <row r="32" spans="1:5" ht="12.95" customHeight="1" x14ac:dyDescent="0.2">
      <c r="A32" s="98" t="s">
        <v>251</v>
      </c>
      <c r="B32" s="93">
        <f>SUM(B24:B31)</f>
        <v>5349638.2554806853</v>
      </c>
      <c r="C32" s="93">
        <f>SUM(C24:C31)</f>
        <v>5719957.4734554002</v>
      </c>
      <c r="D32" s="93">
        <f>SUM(D24:D31)</f>
        <v>6024979.526126313</v>
      </c>
      <c r="E32" s="93">
        <f>SUM(E24:E31)</f>
        <v>6441572.2903833371</v>
      </c>
    </row>
    <row r="33" spans="1:5" ht="13.5" customHeight="1" x14ac:dyDescent="0.2">
      <c r="A33" s="239" t="s">
        <v>256</v>
      </c>
      <c r="B33" s="240">
        <f>B21-B32</f>
        <v>1430251.4679783965</v>
      </c>
      <c r="C33" s="240">
        <f>C21-C32</f>
        <v>1314511.0929905195</v>
      </c>
      <c r="D33" s="240">
        <f>D21-D32</f>
        <v>1271423.6475011334</v>
      </c>
      <c r="E33" s="240">
        <f>E21-E32</f>
        <v>1128212.1807232844</v>
      </c>
    </row>
    <row r="34" spans="1:5" ht="12.95" customHeight="1" x14ac:dyDescent="0.2"/>
    <row r="35" spans="1:5" ht="12.95" customHeight="1" x14ac:dyDescent="0.2"/>
    <row r="36" spans="1:5" ht="12.95" customHeight="1" x14ac:dyDescent="0.2"/>
    <row r="37" spans="1:5" ht="12.95" customHeight="1" x14ac:dyDescent="0.2"/>
    <row r="38" spans="1:5" ht="12.95" customHeight="1" x14ac:dyDescent="0.2"/>
    <row r="39" spans="1:5" ht="12.95" customHeight="1" x14ac:dyDescent="0.2"/>
    <row r="40" spans="1:5" ht="12.95" customHeight="1" x14ac:dyDescent="0.2"/>
    <row r="41" spans="1:5" ht="12.95" customHeight="1" x14ac:dyDescent="0.2"/>
    <row r="42" spans="1:5" ht="12.95" customHeight="1" x14ac:dyDescent="0.2"/>
    <row r="43" spans="1:5" ht="12.95" customHeight="1" x14ac:dyDescent="0.2"/>
    <row r="44" spans="1:5" ht="12.95" customHeight="1" x14ac:dyDescent="0.2"/>
    <row r="45" spans="1:5" ht="12.95" customHeight="1" x14ac:dyDescent="0.2"/>
    <row r="46" spans="1:5" ht="12.95" customHeight="1" x14ac:dyDescent="0.2"/>
    <row r="47" spans="1:5" ht="12.95" customHeight="1" x14ac:dyDescent="0.2"/>
    <row r="48" spans="1:5" ht="12.95" customHeight="1" x14ac:dyDescent="0.2"/>
    <row r="49" ht="12.95" customHeight="1" x14ac:dyDescent="0.2"/>
    <row r="50" ht="12.95" customHeight="1" x14ac:dyDescent="0.2"/>
    <row r="51" ht="12.95" customHeight="1" x14ac:dyDescent="0.2"/>
    <row r="52" ht="12.95" customHeight="1" x14ac:dyDescent="0.2"/>
    <row r="53" ht="12.95" customHeight="1" x14ac:dyDescent="0.2"/>
    <row r="54" ht="12.95" customHeight="1" x14ac:dyDescent="0.2"/>
    <row r="55" ht="12.95" customHeight="1" x14ac:dyDescent="0.2"/>
    <row r="56" ht="12.95" customHeight="1" x14ac:dyDescent="0.2"/>
    <row r="57" ht="12.95" customHeight="1" x14ac:dyDescent="0.2"/>
    <row r="58" ht="12.95" customHeight="1" x14ac:dyDescent="0.2"/>
    <row r="59" ht="12.95" customHeight="1" x14ac:dyDescent="0.2"/>
    <row r="60" ht="12.95" customHeight="1" x14ac:dyDescent="0.2"/>
    <row r="61" ht="12.95" customHeight="1" x14ac:dyDescent="0.2"/>
    <row r="62" ht="12.95" customHeight="1" x14ac:dyDescent="0.2"/>
    <row r="63" ht="12.95" customHeight="1" x14ac:dyDescent="0.2"/>
    <row r="64" ht="12.95" customHeight="1" x14ac:dyDescent="0.2"/>
    <row r="65" ht="12.95" customHeight="1" x14ac:dyDescent="0.2"/>
    <row r="66" ht="12.95" customHeight="1" x14ac:dyDescent="0.2"/>
    <row r="67" ht="12.95" customHeight="1" x14ac:dyDescent="0.2"/>
    <row r="68" ht="12.95" customHeight="1" x14ac:dyDescent="0.2"/>
    <row r="69" ht="12.95" customHeight="1" x14ac:dyDescent="0.2"/>
    <row r="70" ht="12.95" customHeight="1" x14ac:dyDescent="0.2"/>
    <row r="71" ht="12.95" customHeight="1" x14ac:dyDescent="0.2"/>
    <row r="72" ht="12.95" customHeight="1" x14ac:dyDescent="0.2"/>
    <row r="73" ht="12.95" customHeight="1" x14ac:dyDescent="0.2"/>
    <row r="74" ht="12.95" customHeight="1" x14ac:dyDescent="0.2"/>
    <row r="75" ht="12.95" customHeight="1" x14ac:dyDescent="0.2"/>
    <row r="76" ht="12.95" customHeight="1" x14ac:dyDescent="0.2"/>
    <row r="77" ht="12.95" customHeight="1" x14ac:dyDescent="0.2"/>
    <row r="78" ht="12.95" customHeight="1" x14ac:dyDescent="0.2"/>
    <row r="79" ht="12.95" customHeight="1" x14ac:dyDescent="0.2"/>
    <row r="80" ht="12.95" customHeight="1" x14ac:dyDescent="0.2"/>
    <row r="81" ht="12.95" customHeight="1" x14ac:dyDescent="0.2"/>
    <row r="82" ht="12.95" customHeight="1" x14ac:dyDescent="0.2"/>
    <row r="83" ht="12.95" customHeight="1" x14ac:dyDescent="0.2"/>
    <row r="84" ht="12.95" customHeight="1" x14ac:dyDescent="0.2"/>
    <row r="85" ht="12.95" customHeight="1" x14ac:dyDescent="0.2"/>
    <row r="86" ht="12.95" customHeight="1" x14ac:dyDescent="0.2"/>
    <row r="87" ht="12.95" customHeight="1" x14ac:dyDescent="0.2"/>
    <row r="88" ht="12.95" customHeight="1" x14ac:dyDescent="0.2"/>
    <row r="89" ht="12.95" customHeight="1" x14ac:dyDescent="0.2"/>
    <row r="90" ht="12.95" customHeight="1" x14ac:dyDescent="0.2"/>
  </sheetData>
  <mergeCells count="4">
    <mergeCell ref="A1:E1"/>
    <mergeCell ref="A2:E2"/>
    <mergeCell ref="A3:E3"/>
    <mergeCell ref="B5:E5"/>
  </mergeCells>
  <pageMargins left="0.511811024" right="0.511811024" top="0.78740157499999996" bottom="0.78740157499999996" header="0.31496062000000002" footer="0.31496062000000002"/>
  <pageSetup paperSize="9" scale="9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61170-71D5-45CB-AC28-0B34481D080E}">
  <sheetPr>
    <pageSetUpPr fitToPage="1"/>
  </sheetPr>
  <dimension ref="A1:F90"/>
  <sheetViews>
    <sheetView workbookViewId="0">
      <selection activeCell="E34" sqref="E34"/>
    </sheetView>
  </sheetViews>
  <sheetFormatPr defaultRowHeight="12.75" x14ac:dyDescent="0.2"/>
  <cols>
    <col min="1" max="1" width="80.42578125" style="59" customWidth="1"/>
    <col min="2" max="3" width="14.7109375" style="59" bestFit="1" customWidth="1"/>
    <col min="4" max="4" width="14.7109375" style="100" bestFit="1" customWidth="1"/>
    <col min="5" max="5" width="14.7109375" style="59" bestFit="1" customWidth="1"/>
    <col min="6" max="16384" width="9.140625" style="59"/>
  </cols>
  <sheetData>
    <row r="1" spans="1:6" s="57" customFormat="1" ht="12.95" customHeight="1" x14ac:dyDescent="0.2">
      <c r="A1" s="283" t="str">
        <f>Parâmetros!A7</f>
        <v>Município de Arroio do Padre / RS</v>
      </c>
      <c r="B1" s="263"/>
      <c r="C1" s="263"/>
      <c r="D1" s="263"/>
      <c r="E1" s="263"/>
    </row>
    <row r="2" spans="1:6" s="57" customFormat="1" ht="26.25" customHeight="1" x14ac:dyDescent="0.2">
      <c r="A2" s="283" t="str">
        <f>Parâmetros!A8</f>
        <v>PLANO PLURIANUAL 2026 - 2029</v>
      </c>
      <c r="B2" s="263"/>
      <c r="C2" s="263"/>
      <c r="D2" s="263"/>
      <c r="E2" s="263"/>
    </row>
    <row r="3" spans="1:6" ht="30" customHeight="1" x14ac:dyDescent="0.25">
      <c r="A3" s="290" t="s">
        <v>399</v>
      </c>
      <c r="B3" s="291"/>
      <c r="C3" s="291"/>
      <c r="D3" s="291"/>
      <c r="E3" s="291"/>
    </row>
    <row r="4" spans="1:6" ht="12.95" customHeight="1" x14ac:dyDescent="0.2">
      <c r="A4" s="104"/>
      <c r="B4" s="104"/>
      <c r="C4" s="104"/>
      <c r="D4" s="72"/>
      <c r="E4" s="105"/>
    </row>
    <row r="5" spans="1:6" ht="12.95" customHeight="1" x14ac:dyDescent="0.2">
      <c r="A5" s="106" t="s">
        <v>252</v>
      </c>
      <c r="B5" s="292"/>
      <c r="C5" s="292"/>
      <c r="D5" s="292"/>
      <c r="E5" s="292"/>
    </row>
    <row r="6" spans="1:6" ht="12.95" customHeight="1" x14ac:dyDescent="0.2">
      <c r="A6" s="119" t="s">
        <v>253</v>
      </c>
      <c r="B6" s="118">
        <f>Parâmetros!C10</f>
        <v>2026</v>
      </c>
      <c r="C6" s="112">
        <f>B6+1</f>
        <v>2027</v>
      </c>
      <c r="D6" s="112">
        <f>C6+1</f>
        <v>2028</v>
      </c>
      <c r="E6" s="112">
        <f>D6+1</f>
        <v>2029</v>
      </c>
    </row>
    <row r="7" spans="1:6" ht="12.95" customHeight="1" x14ac:dyDescent="0.2">
      <c r="A7" s="120" t="s">
        <v>257</v>
      </c>
      <c r="B7" s="202">
        <f>Educação!B7</f>
        <v>1108387.5322589867</v>
      </c>
      <c r="C7" s="202">
        <f>Educação!C7</f>
        <v>1187533.052387472</v>
      </c>
      <c r="D7" s="202">
        <f>Educação!D7</f>
        <v>1270372.9830559173</v>
      </c>
      <c r="E7" s="202">
        <f>Educação!E7</f>
        <v>1358599.1163561677</v>
      </c>
    </row>
    <row r="8" spans="1:6" ht="12.95" customHeight="1" x14ac:dyDescent="0.2">
      <c r="A8" s="120" t="s">
        <v>258</v>
      </c>
      <c r="B8" s="114">
        <f>Educação!B8</f>
        <v>17946242.076400001</v>
      </c>
      <c r="C8" s="114">
        <f>Educação!C8</f>
        <v>19041034.628028706</v>
      </c>
      <c r="D8" s="114">
        <f>Educação!D8</f>
        <v>20171538.935964022</v>
      </c>
      <c r="E8" s="114">
        <f>Educação!E8</f>
        <v>21362991.05475568</v>
      </c>
    </row>
    <row r="9" spans="1:6" ht="12.95" customHeight="1" x14ac:dyDescent="0.2">
      <c r="A9" s="120" t="s">
        <v>259</v>
      </c>
      <c r="B9" s="114">
        <f>Educação!B9</f>
        <v>5876265.0648000007</v>
      </c>
      <c r="C9" s="114">
        <f>Educação!C9</f>
        <v>6234740.7388130585</v>
      </c>
      <c r="D9" s="114">
        <f>Educação!D9</f>
        <v>6604909.7659578687</v>
      </c>
      <c r="E9" s="114">
        <f>Educação!E9</f>
        <v>6995035.3661939362</v>
      </c>
    </row>
    <row r="10" spans="1:6" ht="12.95" customHeight="1" x14ac:dyDescent="0.2">
      <c r="A10" s="210" t="str">
        <f>Educação!A10</f>
        <v xml:space="preserve">(-)  Dedução das Receitas de Impostos </v>
      </c>
      <c r="B10" s="110">
        <f>Educação!B10</f>
        <v>0</v>
      </c>
      <c r="C10" s="110">
        <f>Educação!C10</f>
        <v>0</v>
      </c>
      <c r="D10" s="110">
        <f>Educação!D10</f>
        <v>0</v>
      </c>
      <c r="E10" s="110">
        <f>Educação!E10</f>
        <v>0</v>
      </c>
    </row>
    <row r="11" spans="1:6" ht="12.95" customHeight="1" x14ac:dyDescent="0.2">
      <c r="A11" s="121"/>
      <c r="B11" s="205"/>
      <c r="C11" s="205"/>
      <c r="D11" s="205"/>
      <c r="E11" s="205"/>
    </row>
    <row r="12" spans="1:6" ht="12.95" customHeight="1" x14ac:dyDescent="0.2">
      <c r="A12" s="96" t="s">
        <v>262</v>
      </c>
      <c r="B12" s="113">
        <f>(SUM(B7:B11))*0.15</f>
        <v>3739634.2010188485</v>
      </c>
      <c r="C12" s="113">
        <f>(SUM(C7:C11))*0.15</f>
        <v>3969496.262884385</v>
      </c>
      <c r="D12" s="113">
        <f>(SUM(D7:D11))*0.15</f>
        <v>4207023.2527466705</v>
      </c>
      <c r="E12" s="113">
        <f>(SUM(E7:E11))*0.15</f>
        <v>4457493.8305958677</v>
      </c>
    </row>
    <row r="13" spans="1:6" ht="12.95" customHeight="1" x14ac:dyDescent="0.2">
      <c r="A13" s="122"/>
      <c r="B13" s="109"/>
      <c r="C13" s="111"/>
      <c r="D13" s="111"/>
      <c r="E13" s="123"/>
    </row>
    <row r="14" spans="1:6" ht="12.95" customHeight="1" x14ac:dyDescent="0.2">
      <c r="A14" s="117" t="s">
        <v>266</v>
      </c>
      <c r="B14" s="115">
        <f>Projeções!F23</f>
        <v>176033.100714</v>
      </c>
      <c r="C14" s="115">
        <f>Projeções!G23</f>
        <v>183109.63136270281</v>
      </c>
      <c r="D14" s="115">
        <f>Projeções!H23</f>
        <v>190177.66313330314</v>
      </c>
      <c r="E14" s="116">
        <f>Projeções!I23</f>
        <v>197461.46763130865</v>
      </c>
      <c r="F14" s="99"/>
    </row>
    <row r="15" spans="1:6" ht="12.95" customHeight="1" x14ac:dyDescent="0.2">
      <c r="A15" s="117" t="s">
        <v>375</v>
      </c>
      <c r="B15" s="115">
        <f>Projeções!F42+Projeções!F84</f>
        <v>1050803.8256000001</v>
      </c>
      <c r="C15" s="115">
        <f>Projeções!G42+Projeções!G84</f>
        <v>1018806.6621769024</v>
      </c>
      <c r="D15" s="115">
        <f>Projeções!H42+Projeções!H84</f>
        <v>1168701.5313236695</v>
      </c>
      <c r="E15" s="116">
        <f>Projeções!I42+Projeções!I84</f>
        <v>1231825.4559728333</v>
      </c>
    </row>
    <row r="16" spans="1:6" ht="12.95" customHeight="1" x14ac:dyDescent="0.2">
      <c r="A16" s="117" t="s">
        <v>376</v>
      </c>
      <c r="B16" s="115">
        <f>Projeções!F58+Projeções!F92</f>
        <v>306321.06540000002</v>
      </c>
      <c r="C16" s="115">
        <f>Projeções!G58+Projeções!G92</f>
        <v>325007.87567366165</v>
      </c>
      <c r="D16" s="115">
        <f>Projeções!H58+Projeções!H92</f>
        <v>344304.24326815829</v>
      </c>
      <c r="E16" s="116">
        <f>Projeções!I58+Projeções!I92</f>
        <v>364640.91770103533</v>
      </c>
    </row>
    <row r="17" spans="1:5" ht="12.95" customHeight="1" x14ac:dyDescent="0.2">
      <c r="A17" s="117" t="s">
        <v>373</v>
      </c>
      <c r="B17" s="115">
        <f>Projeções!F59+Projeções!F87</f>
        <v>0</v>
      </c>
      <c r="C17" s="115">
        <f>Projeções!G59+Projeções!G87</f>
        <v>0</v>
      </c>
      <c r="D17" s="115">
        <f>Projeções!H59+Projeções!H87</f>
        <v>0</v>
      </c>
      <c r="E17" s="116">
        <f>Projeções!I59+Projeções!I87</f>
        <v>0</v>
      </c>
    </row>
    <row r="18" spans="1:5" ht="12.95" customHeight="1" x14ac:dyDescent="0.2">
      <c r="A18" s="117" t="s">
        <v>374</v>
      </c>
      <c r="B18" s="115">
        <f>Projeções!F59+Projeções!F93</f>
        <v>50000</v>
      </c>
      <c r="C18" s="115">
        <f>Projeções!G59+Projeções!G93</f>
        <v>50000</v>
      </c>
      <c r="D18" s="115">
        <f>Projeções!H59+Projeções!H93</f>
        <v>50000</v>
      </c>
      <c r="E18" s="116">
        <f>Projeções!I59+Projeções!I93</f>
        <v>50000</v>
      </c>
    </row>
    <row r="19" spans="1:5" ht="12.95" customHeight="1" x14ac:dyDescent="0.2">
      <c r="A19" s="107"/>
      <c r="B19" s="115"/>
      <c r="C19" s="115"/>
      <c r="D19" s="115"/>
      <c r="E19" s="124"/>
    </row>
    <row r="20" spans="1:5" ht="12.95" customHeight="1" x14ac:dyDescent="0.2">
      <c r="A20" s="125" t="s">
        <v>263</v>
      </c>
      <c r="B20" s="126">
        <f>SUM(B12:B19)</f>
        <v>5322792.1927328482</v>
      </c>
      <c r="C20" s="126">
        <f>SUM(C12:C19)</f>
        <v>5546420.432097652</v>
      </c>
      <c r="D20" s="126">
        <f>SUM(D12:D19)</f>
        <v>5960206.690471801</v>
      </c>
      <c r="E20" s="126">
        <f>SUM(E12:E19)</f>
        <v>6301421.6719010454</v>
      </c>
    </row>
    <row r="21" spans="1:5" ht="12.95" customHeight="1" x14ac:dyDescent="0.2">
      <c r="A21" s="107"/>
      <c r="B21" s="108"/>
      <c r="C21" s="108"/>
      <c r="D21" s="108"/>
      <c r="E21" s="108"/>
    </row>
    <row r="22" spans="1:5" ht="12.95" customHeight="1" x14ac:dyDescent="0.2">
      <c r="A22" s="90" t="s">
        <v>255</v>
      </c>
      <c r="B22" s="95">
        <f>B6</f>
        <v>2026</v>
      </c>
      <c r="C22" s="95">
        <f>B22+1</f>
        <v>2027</v>
      </c>
      <c r="D22" s="95">
        <f>C22+1</f>
        <v>2028</v>
      </c>
      <c r="E22" s="95">
        <f>D22+1</f>
        <v>2029</v>
      </c>
    </row>
    <row r="23" spans="1:5" ht="12.95" customHeight="1" x14ac:dyDescent="0.2">
      <c r="A23" s="101"/>
      <c r="B23" s="102"/>
      <c r="C23" s="102"/>
      <c r="D23" s="102"/>
      <c r="E23" s="102"/>
    </row>
    <row r="24" spans="1:5" ht="12.95" customHeight="1" x14ac:dyDescent="0.2">
      <c r="A24" s="97" t="str">
        <f>Projeções!B130</f>
        <v>Pessoal e Encargos Sociais - Saúde</v>
      </c>
      <c r="B24" s="103">
        <f>Projeções!F130</f>
        <v>4322689.6189545542</v>
      </c>
      <c r="C24" s="103">
        <f>Projeções!G130</f>
        <v>4644256.8280327246</v>
      </c>
      <c r="D24" s="103">
        <f>Projeções!H130</f>
        <v>4869638.491708613</v>
      </c>
      <c r="E24" s="103">
        <f>Projeções!I130</f>
        <v>5180138.3309661131</v>
      </c>
    </row>
    <row r="25" spans="1:5" ht="12.95" customHeight="1" x14ac:dyDescent="0.2">
      <c r="A25" s="97" t="str">
        <f>Projeções!B137</f>
        <v>Juros e Encargos da Dívida - Saúde</v>
      </c>
      <c r="B25" s="92">
        <f>Projeções!F137</f>
        <v>0</v>
      </c>
      <c r="C25" s="92">
        <f>Projeções!G137</f>
        <v>0</v>
      </c>
      <c r="D25" s="92">
        <f>Projeções!H137</f>
        <v>0</v>
      </c>
      <c r="E25" s="92">
        <f>Projeções!I137</f>
        <v>0</v>
      </c>
    </row>
    <row r="26" spans="1:5" ht="12.95" customHeight="1" x14ac:dyDescent="0.2">
      <c r="A26" s="97" t="str">
        <f>Projeções!B144</f>
        <v>Outros Benef.Assistênciais - Saúde</v>
      </c>
      <c r="B26" s="92">
        <f>Projeções!F144</f>
        <v>0</v>
      </c>
      <c r="C26" s="92">
        <f>Projeções!G144</f>
        <v>0</v>
      </c>
      <c r="D26" s="92">
        <f>Projeções!H144</f>
        <v>0</v>
      </c>
      <c r="E26" s="92">
        <f>Projeções!I144</f>
        <v>0</v>
      </c>
    </row>
    <row r="27" spans="1:5" ht="12.95" customHeight="1" x14ac:dyDescent="0.2">
      <c r="A27" s="97" t="str">
        <f>Projeções!B151</f>
        <v>Auxílio - Alimentação - Saúde</v>
      </c>
      <c r="B27" s="92">
        <f>Projeções!F151</f>
        <v>374133.06562418875</v>
      </c>
      <c r="C27" s="92">
        <f>Projeções!G151</f>
        <v>421483.56788087584</v>
      </c>
      <c r="D27" s="92">
        <f>Projeções!H151</f>
        <v>453021.27296031965</v>
      </c>
      <c r="E27" s="92">
        <f>Projeções!I151</f>
        <v>493692.24913816963</v>
      </c>
    </row>
    <row r="28" spans="1:5" ht="12.95" customHeight="1" x14ac:dyDescent="0.2">
      <c r="A28" s="97" t="str">
        <f>Projeções!B158</f>
        <v>Obrigações Tributárias e Contributivas - Saúde</v>
      </c>
      <c r="B28" s="92">
        <f>Projeções!F158</f>
        <v>0</v>
      </c>
      <c r="C28" s="92">
        <f>Projeções!G158</f>
        <v>0</v>
      </c>
      <c r="D28" s="92">
        <f>Projeções!H158</f>
        <v>0</v>
      </c>
      <c r="E28" s="92">
        <f>Projeções!I158</f>
        <v>0</v>
      </c>
    </row>
    <row r="29" spans="1:5" ht="12.95" customHeight="1" x14ac:dyDescent="0.2">
      <c r="A29" s="97" t="str">
        <f>Projeções!B165</f>
        <v>Sentenças Judiciais - Saúde</v>
      </c>
      <c r="B29" s="92">
        <f>Projeções!F165</f>
        <v>0</v>
      </c>
      <c r="C29" s="92">
        <f>Projeções!G165</f>
        <v>0</v>
      </c>
      <c r="D29" s="92">
        <f>Projeções!H165</f>
        <v>0</v>
      </c>
      <c r="E29" s="92">
        <f>Projeções!I165</f>
        <v>0</v>
      </c>
    </row>
    <row r="30" spans="1:5" ht="12.95" customHeight="1" x14ac:dyDescent="0.2">
      <c r="A30" s="97" t="str">
        <f>Projeções!B172</f>
        <v>Indenizações e Restituições - Saúde</v>
      </c>
      <c r="B30" s="92">
        <f>Projeções!F172+Projeções!F179</f>
        <v>17598.44432366667</v>
      </c>
      <c r="C30" s="92">
        <f>Projeções!G172+Projeções!G179</f>
        <v>20097.983085826021</v>
      </c>
      <c r="D30" s="92">
        <f>Projeções!H172+Projeções!H179</f>
        <v>20666.903169166373</v>
      </c>
      <c r="E30" s="92">
        <f>Projeções!I172+Projeções!I179</f>
        <v>20199.548713273904</v>
      </c>
    </row>
    <row r="31" spans="1:5" ht="12.95" customHeight="1" x14ac:dyDescent="0.2">
      <c r="A31" s="97" t="str">
        <f>Projeções!B186</f>
        <v>Amortização da Dívida - Saúde</v>
      </c>
      <c r="B31" s="92">
        <f>Projeções!F186</f>
        <v>0</v>
      </c>
      <c r="C31" s="92">
        <f>Projeções!G186</f>
        <v>0</v>
      </c>
      <c r="D31" s="92">
        <f>Projeções!H186</f>
        <v>0</v>
      </c>
      <c r="E31" s="92">
        <f>Projeções!I186</f>
        <v>0</v>
      </c>
    </row>
    <row r="32" spans="1:5" ht="12.95" customHeight="1" x14ac:dyDescent="0.2">
      <c r="A32" s="98" t="s">
        <v>251</v>
      </c>
      <c r="B32" s="93">
        <f>SUM(B24:B31)</f>
        <v>4714421.1289024092</v>
      </c>
      <c r="C32" s="93">
        <f>SUM(C24:C31)</f>
        <v>5085838.378999426</v>
      </c>
      <c r="D32" s="93">
        <f>SUM(D24:D31)</f>
        <v>5343326.6678380985</v>
      </c>
      <c r="E32" s="93">
        <f>SUM(E24:E31)</f>
        <v>5694030.1288175574</v>
      </c>
    </row>
    <row r="33" spans="1:5" ht="12.95" customHeight="1" x14ac:dyDescent="0.2">
      <c r="A33" s="239" t="s">
        <v>264</v>
      </c>
      <c r="B33" s="94">
        <f>B20-B32</f>
        <v>608371.063830439</v>
      </c>
      <c r="C33" s="94">
        <f>C20-C32</f>
        <v>460582.05309822597</v>
      </c>
      <c r="D33" s="94">
        <f>D20-D32</f>
        <v>616880.02263370249</v>
      </c>
      <c r="E33" s="94">
        <f>E20-E32</f>
        <v>607391.54308348801</v>
      </c>
    </row>
    <row r="34" spans="1:5" ht="12.95" customHeight="1" x14ac:dyDescent="0.2"/>
    <row r="35" spans="1:5" ht="12.95" customHeight="1" x14ac:dyDescent="0.2"/>
    <row r="36" spans="1:5" ht="12.95" customHeight="1" x14ac:dyDescent="0.2"/>
    <row r="37" spans="1:5" ht="12.95" customHeight="1" x14ac:dyDescent="0.2"/>
    <row r="38" spans="1:5" ht="12.95" customHeight="1" x14ac:dyDescent="0.2"/>
    <row r="39" spans="1:5" ht="12.95" customHeight="1" x14ac:dyDescent="0.2"/>
    <row r="40" spans="1:5" ht="12.95" customHeight="1" x14ac:dyDescent="0.2"/>
    <row r="41" spans="1:5" ht="12.95" customHeight="1" x14ac:dyDescent="0.2"/>
    <row r="42" spans="1:5" ht="12.95" customHeight="1" x14ac:dyDescent="0.2"/>
    <row r="43" spans="1:5" ht="12.95" customHeight="1" x14ac:dyDescent="0.2"/>
    <row r="44" spans="1:5" ht="12.95" customHeight="1" x14ac:dyDescent="0.2"/>
    <row r="45" spans="1:5" ht="12.95" customHeight="1" x14ac:dyDescent="0.2"/>
    <row r="46" spans="1:5" ht="12.95" customHeight="1" x14ac:dyDescent="0.2"/>
    <row r="47" spans="1:5" ht="12.95" customHeight="1" x14ac:dyDescent="0.2"/>
    <row r="48" spans="1:5" ht="12.95" customHeight="1" x14ac:dyDescent="0.2"/>
    <row r="49" ht="12.95" customHeight="1" x14ac:dyDescent="0.2"/>
    <row r="50" ht="12.95" customHeight="1" x14ac:dyDescent="0.2"/>
    <row r="51" ht="12.95" customHeight="1" x14ac:dyDescent="0.2"/>
    <row r="52" ht="12.95" customHeight="1" x14ac:dyDescent="0.2"/>
    <row r="53" ht="12.95" customHeight="1" x14ac:dyDescent="0.2"/>
    <row r="54" ht="12.95" customHeight="1" x14ac:dyDescent="0.2"/>
    <row r="55" ht="12.95" customHeight="1" x14ac:dyDescent="0.2"/>
    <row r="56" ht="12.95" customHeight="1" x14ac:dyDescent="0.2"/>
    <row r="57" ht="12.95" customHeight="1" x14ac:dyDescent="0.2"/>
    <row r="58" ht="12.95" customHeight="1" x14ac:dyDescent="0.2"/>
    <row r="59" ht="12.95" customHeight="1" x14ac:dyDescent="0.2"/>
    <row r="60" ht="12.95" customHeight="1" x14ac:dyDescent="0.2"/>
    <row r="61" ht="12.95" customHeight="1" x14ac:dyDescent="0.2"/>
    <row r="62" ht="12.95" customHeight="1" x14ac:dyDescent="0.2"/>
    <row r="63" ht="12.95" customHeight="1" x14ac:dyDescent="0.2"/>
    <row r="64" ht="12.95" customHeight="1" x14ac:dyDescent="0.2"/>
    <row r="65" ht="12.95" customHeight="1" x14ac:dyDescent="0.2"/>
    <row r="66" ht="12.95" customHeight="1" x14ac:dyDescent="0.2"/>
    <row r="67" ht="12.95" customHeight="1" x14ac:dyDescent="0.2"/>
    <row r="68" ht="12.95" customHeight="1" x14ac:dyDescent="0.2"/>
    <row r="69" ht="12.95" customHeight="1" x14ac:dyDescent="0.2"/>
    <row r="70" ht="12.95" customHeight="1" x14ac:dyDescent="0.2"/>
    <row r="71" ht="12.95" customHeight="1" x14ac:dyDescent="0.2"/>
    <row r="72" ht="12.95" customHeight="1" x14ac:dyDescent="0.2"/>
    <row r="73" ht="12.95" customHeight="1" x14ac:dyDescent="0.2"/>
    <row r="74" ht="12.95" customHeight="1" x14ac:dyDescent="0.2"/>
    <row r="75" ht="12.95" customHeight="1" x14ac:dyDescent="0.2"/>
    <row r="76" ht="12.95" customHeight="1" x14ac:dyDescent="0.2"/>
    <row r="77" ht="12.95" customHeight="1" x14ac:dyDescent="0.2"/>
    <row r="78" ht="12.95" customHeight="1" x14ac:dyDescent="0.2"/>
    <row r="79" ht="12.95" customHeight="1" x14ac:dyDescent="0.2"/>
    <row r="80" ht="12.95" customHeight="1" x14ac:dyDescent="0.2"/>
    <row r="81" ht="12.95" customHeight="1" x14ac:dyDescent="0.2"/>
    <row r="82" ht="12.95" customHeight="1" x14ac:dyDescent="0.2"/>
    <row r="83" ht="12.95" customHeight="1" x14ac:dyDescent="0.2"/>
    <row r="84" ht="12.95" customHeight="1" x14ac:dyDescent="0.2"/>
    <row r="85" ht="12.95" customHeight="1" x14ac:dyDescent="0.2"/>
    <row r="86" ht="12.95" customHeight="1" x14ac:dyDescent="0.2"/>
    <row r="87" ht="12.95" customHeight="1" x14ac:dyDescent="0.2"/>
    <row r="88" ht="12.95" customHeight="1" x14ac:dyDescent="0.2"/>
    <row r="89" ht="12.95" customHeight="1" x14ac:dyDescent="0.2"/>
    <row r="90" ht="12.95" customHeight="1" x14ac:dyDescent="0.2"/>
  </sheetData>
  <mergeCells count="4">
    <mergeCell ref="A1:E1"/>
    <mergeCell ref="A2:E2"/>
    <mergeCell ref="A3:E3"/>
    <mergeCell ref="B5:E5"/>
  </mergeCells>
  <pageMargins left="0.511811024" right="0.511811024" top="0.78740157499999996" bottom="0.78740157499999996" header="0.31496062000000002" footer="0.31496062000000002"/>
  <pageSetup paperSize="9" scale="9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B76D4-790D-4CE4-9DEA-E71B752FCAC5}">
  <sheetPr>
    <pageSetUpPr fitToPage="1"/>
  </sheetPr>
  <dimension ref="A1:F83"/>
  <sheetViews>
    <sheetView workbookViewId="0">
      <selection activeCell="C41" sqref="C41"/>
    </sheetView>
  </sheetViews>
  <sheetFormatPr defaultRowHeight="12.75" x14ac:dyDescent="0.2"/>
  <cols>
    <col min="1" max="1" width="82.28515625" style="59" customWidth="1"/>
    <col min="2" max="3" width="13.7109375" style="59" customWidth="1"/>
    <col min="4" max="4" width="13.7109375" style="100" customWidth="1"/>
    <col min="5" max="5" width="13.7109375" style="59" customWidth="1"/>
    <col min="6" max="16384" width="9.140625" style="59"/>
  </cols>
  <sheetData>
    <row r="1" spans="1:6" s="57" customFormat="1" ht="12.95" customHeight="1" x14ac:dyDescent="0.2">
      <c r="A1" s="283" t="str">
        <f>Parâmetros!A7</f>
        <v>Município de Arroio do Padre / RS</v>
      </c>
      <c r="B1" s="263"/>
      <c r="C1" s="263"/>
      <c r="D1" s="263"/>
      <c r="E1" s="263"/>
    </row>
    <row r="2" spans="1:6" s="57" customFormat="1" ht="33.75" customHeight="1" x14ac:dyDescent="0.2">
      <c r="A2" s="283" t="str">
        <f>Parâmetros!A8</f>
        <v>PLANO PLURIANUAL 2026 - 2029</v>
      </c>
      <c r="B2" s="263"/>
      <c r="C2" s="263"/>
      <c r="D2" s="263"/>
      <c r="E2" s="263"/>
    </row>
    <row r="3" spans="1:6" ht="31.5" customHeight="1" x14ac:dyDescent="0.25">
      <c r="A3" s="290" t="s">
        <v>398</v>
      </c>
      <c r="B3" s="291"/>
      <c r="C3" s="291"/>
      <c r="D3" s="291"/>
      <c r="E3" s="291"/>
    </row>
    <row r="4" spans="1:6" ht="12.95" customHeight="1" x14ac:dyDescent="0.2">
      <c r="A4" s="104"/>
      <c r="B4" s="104"/>
      <c r="C4" s="104"/>
      <c r="D4" s="72"/>
      <c r="E4" s="105"/>
    </row>
    <row r="5" spans="1:6" ht="12.95" customHeight="1" x14ac:dyDescent="0.2">
      <c r="A5" s="106" t="s">
        <v>252</v>
      </c>
      <c r="B5" s="292"/>
      <c r="C5" s="292"/>
      <c r="D5" s="292"/>
      <c r="E5" s="292"/>
    </row>
    <row r="6" spans="1:6" ht="12.95" customHeight="1" x14ac:dyDescent="0.2">
      <c r="A6" s="119" t="s">
        <v>253</v>
      </c>
      <c r="B6" s="118">
        <f>Parâmetros!C10</f>
        <v>2026</v>
      </c>
      <c r="C6" s="112">
        <f>B6+1</f>
        <v>2027</v>
      </c>
      <c r="D6" s="112">
        <f>C6+1</f>
        <v>2028</v>
      </c>
      <c r="E6" s="112">
        <f>D6+1</f>
        <v>2029</v>
      </c>
    </row>
    <row r="7" spans="1:6" ht="12.95" customHeight="1" x14ac:dyDescent="0.2">
      <c r="A7" s="117" t="s">
        <v>267</v>
      </c>
      <c r="B7" s="115">
        <f>Projeções!F24</f>
        <v>28806.441664000002</v>
      </c>
      <c r="C7" s="115">
        <f>Projeções!G24</f>
        <v>27594.880397630932</v>
      </c>
      <c r="D7" s="115">
        <f>Projeções!H24</f>
        <v>28181.137697736627</v>
      </c>
      <c r="E7" s="128">
        <f>Projeções!I24</f>
        <v>29273.989322717112</v>
      </c>
      <c r="F7" s="99"/>
    </row>
    <row r="8" spans="1:6" ht="12.95" customHeight="1" x14ac:dyDescent="0.2">
      <c r="A8" s="117" t="s">
        <v>268</v>
      </c>
      <c r="B8" s="115">
        <f>Projeções!F46+Projeções!F86</f>
        <v>102474.4224</v>
      </c>
      <c r="C8" s="115">
        <f>Projeções!G46+Projeções!G86</f>
        <v>108725.7720640896</v>
      </c>
      <c r="D8" s="115">
        <f>Projeções!H46+Projeções!H86</f>
        <v>115181.03860307872</v>
      </c>
      <c r="E8" s="116">
        <f>Projeções!I46+Projeções!I86</f>
        <v>121984.32182920817</v>
      </c>
    </row>
    <row r="9" spans="1:6" ht="12.95" customHeight="1" x14ac:dyDescent="0.2">
      <c r="A9" s="117" t="s">
        <v>269</v>
      </c>
      <c r="B9" s="115">
        <f>Projeções!F63</f>
        <v>6313.7591999999995</v>
      </c>
      <c r="C9" s="115">
        <f>Projeções!G63</f>
        <v>6698.9237662367996</v>
      </c>
      <c r="D9" s="115">
        <f>Projeções!H63</f>
        <v>7096.6522680858106</v>
      </c>
      <c r="E9" s="116">
        <f>Projeções!I63</f>
        <v>7515.8231309525672</v>
      </c>
    </row>
    <row r="10" spans="1:6" ht="12.95" customHeight="1" x14ac:dyDescent="0.2">
      <c r="A10" s="117" t="s">
        <v>373</v>
      </c>
      <c r="B10" s="115">
        <f>Projeções!F49+Projeções!F89</f>
        <v>0</v>
      </c>
      <c r="C10" s="115">
        <f>Projeções!G49+Projeções!G89</f>
        <v>0</v>
      </c>
      <c r="D10" s="115">
        <f>Projeções!H49+Projeções!H89</f>
        <v>0</v>
      </c>
      <c r="E10" s="116">
        <f>Projeções!I49+Projeções!I89</f>
        <v>0</v>
      </c>
    </row>
    <row r="11" spans="1:6" ht="12.95" customHeight="1" x14ac:dyDescent="0.2">
      <c r="A11" s="117" t="s">
        <v>374</v>
      </c>
      <c r="B11" s="115">
        <f>Projeções!F61+Projeções!F95</f>
        <v>0</v>
      </c>
      <c r="C11" s="115">
        <f>Projeções!G61+Projeções!G95</f>
        <v>0</v>
      </c>
      <c r="D11" s="115">
        <f>Projeções!H61+Projeções!H95</f>
        <v>0</v>
      </c>
      <c r="E11" s="116">
        <f>Projeções!I61+Projeções!I95</f>
        <v>0</v>
      </c>
    </row>
    <row r="12" spans="1:6" ht="12.95" customHeight="1" x14ac:dyDescent="0.2">
      <c r="A12" s="216" t="s">
        <v>384</v>
      </c>
      <c r="B12" s="115">
        <f>Projeções!F119</f>
        <v>368196.51221000002</v>
      </c>
      <c r="C12" s="115">
        <f>Projeções!G119</f>
        <v>382998.01200084202</v>
      </c>
      <c r="D12" s="115">
        <f>Projeções!H119</f>
        <v>397781.73526407452</v>
      </c>
      <c r="E12" s="124">
        <f>Projeções!I119</f>
        <v>413016.7757246886</v>
      </c>
    </row>
    <row r="13" spans="1:6" ht="12.95" customHeight="1" x14ac:dyDescent="0.2">
      <c r="A13" s="125" t="s">
        <v>270</v>
      </c>
      <c r="B13" s="126">
        <f>SUM(B7:B12)</f>
        <v>505791.13547400001</v>
      </c>
      <c r="C13" s="126">
        <f>SUM(C7:C12)</f>
        <v>526017.5882287994</v>
      </c>
      <c r="D13" s="126">
        <f>SUM(D7:D12)</f>
        <v>548240.56383297569</v>
      </c>
      <c r="E13" s="126">
        <f>SUM(E7:E12)</f>
        <v>571790.91000756645</v>
      </c>
    </row>
    <row r="14" spans="1:6" ht="12.95" customHeight="1" x14ac:dyDescent="0.2">
      <c r="A14" s="107"/>
      <c r="B14" s="108"/>
      <c r="C14" s="108"/>
      <c r="D14" s="108"/>
      <c r="E14" s="108"/>
    </row>
    <row r="15" spans="1:6" ht="12.95" customHeight="1" x14ac:dyDescent="0.2">
      <c r="A15" s="90" t="s">
        <v>255</v>
      </c>
      <c r="B15" s="95">
        <f>B6</f>
        <v>2026</v>
      </c>
      <c r="C15" s="95">
        <f>B15+1</f>
        <v>2027</v>
      </c>
      <c r="D15" s="95">
        <f>C15+1</f>
        <v>2028</v>
      </c>
      <c r="E15" s="95">
        <f>D15+1</f>
        <v>2029</v>
      </c>
    </row>
    <row r="16" spans="1:6" ht="12.95" customHeight="1" x14ac:dyDescent="0.2">
      <c r="A16" s="101"/>
      <c r="B16" s="102"/>
      <c r="C16" s="102"/>
      <c r="D16" s="102"/>
      <c r="E16" s="102"/>
    </row>
    <row r="17" spans="1:5" ht="12.95" customHeight="1" x14ac:dyDescent="0.2">
      <c r="A17" s="97" t="str">
        <f>Projeções!B132</f>
        <v>Pessoal e Encargos Sociais - Assist. Social</v>
      </c>
      <c r="B17" s="103">
        <f>Projeções!F132</f>
        <v>327808.90790342167</v>
      </c>
      <c r="C17" s="103">
        <f>Projeções!G132</f>
        <v>350233.40741325484</v>
      </c>
      <c r="D17" s="103">
        <f>Projeções!H132</f>
        <v>367555.47460824758</v>
      </c>
      <c r="E17" s="103">
        <f>Projeções!I132</f>
        <v>391450.72388606664</v>
      </c>
    </row>
    <row r="18" spans="1:5" ht="12.95" customHeight="1" x14ac:dyDescent="0.2">
      <c r="A18" s="97" t="str">
        <f>Projeções!B139</f>
        <v>Juros e Encargos da Dívida - Assist. Social</v>
      </c>
      <c r="B18" s="92">
        <f>Projeções!F139</f>
        <v>0</v>
      </c>
      <c r="C18" s="92">
        <f>Projeções!G139</f>
        <v>0</v>
      </c>
      <c r="D18" s="92">
        <f>Projeções!H139</f>
        <v>0</v>
      </c>
      <c r="E18" s="92">
        <f>Projeções!I139</f>
        <v>0</v>
      </c>
    </row>
    <row r="19" spans="1:5" ht="12.95" customHeight="1" x14ac:dyDescent="0.2">
      <c r="A19" s="97" t="str">
        <f>Projeções!B146</f>
        <v>Outros Benef.Assistênciais - Assist. Social</v>
      </c>
      <c r="B19" s="92">
        <f>Projeções!F146</f>
        <v>0</v>
      </c>
      <c r="C19" s="92">
        <f>Projeções!G146</f>
        <v>0</v>
      </c>
      <c r="D19" s="92">
        <f>Projeções!H146</f>
        <v>0</v>
      </c>
      <c r="E19" s="92">
        <f>Projeções!I146</f>
        <v>0</v>
      </c>
    </row>
    <row r="20" spans="1:5" ht="12.95" customHeight="1" x14ac:dyDescent="0.2">
      <c r="A20" s="97" t="str">
        <f>Projeções!B153</f>
        <v>Auxílio - Alimentação - Assist. Social</v>
      </c>
      <c r="B20" s="92">
        <f>Projeções!F153</f>
        <v>33760.479255361679</v>
      </c>
      <c r="C20" s="92">
        <f>Projeções!G153</f>
        <v>38213.922537988525</v>
      </c>
      <c r="D20" s="92">
        <f>Projeções!H153</f>
        <v>41043.374111116835</v>
      </c>
      <c r="E20" s="92">
        <f>Projeções!I153</f>
        <v>44685.492639588381</v>
      </c>
    </row>
    <row r="21" spans="1:5" ht="12.95" customHeight="1" x14ac:dyDescent="0.2">
      <c r="A21" s="97" t="str">
        <f>Projeções!B160</f>
        <v>Obrigações Tributárias e Contributivas - Assist. Social</v>
      </c>
      <c r="B21" s="92">
        <f>Projeções!F160</f>
        <v>0</v>
      </c>
      <c r="C21" s="92">
        <f>Projeções!G160</f>
        <v>0</v>
      </c>
      <c r="D21" s="92">
        <f>Projeções!H160</f>
        <v>0</v>
      </c>
      <c r="E21" s="92">
        <f>Projeções!I160</f>
        <v>0</v>
      </c>
    </row>
    <row r="22" spans="1:5" ht="12.95" customHeight="1" x14ac:dyDescent="0.2">
      <c r="A22" s="97" t="str">
        <f>Projeções!B167</f>
        <v>Sentenças Judiciais - Assist. Social</v>
      </c>
      <c r="B22" s="92">
        <f>Projeções!F167</f>
        <v>0</v>
      </c>
      <c r="C22" s="92">
        <f>Projeções!G167</f>
        <v>0</v>
      </c>
      <c r="D22" s="92">
        <f>Projeções!H167</f>
        <v>0</v>
      </c>
      <c r="E22" s="92">
        <f>Projeções!I167</f>
        <v>0</v>
      </c>
    </row>
    <row r="23" spans="1:5" ht="12.95" customHeight="1" x14ac:dyDescent="0.2">
      <c r="A23" s="97" t="str">
        <f>Projeções!B174</f>
        <v>Indenizações e Restituições - Assist. Social</v>
      </c>
      <c r="B23" s="92">
        <f>Projeções!F174+Projeções!F181</f>
        <v>135.72837433333333</v>
      </c>
      <c r="C23" s="92">
        <f>Projeções!G174+Projeções!G181</f>
        <v>151.86516899384446</v>
      </c>
      <c r="D23" s="92">
        <f>Projeções!H174+Projeções!H181</f>
        <v>168.80488469986895</v>
      </c>
      <c r="E23" s="92">
        <f>Projeções!I174+Projeções!I181</f>
        <v>157.95949594016088</v>
      </c>
    </row>
    <row r="24" spans="1:5" ht="12.95" customHeight="1" x14ac:dyDescent="0.2">
      <c r="A24" s="97" t="str">
        <f>Projeções!B188</f>
        <v>Amortização da Dívida - Assist. Social</v>
      </c>
      <c r="B24" s="92">
        <f>Projeções!F188</f>
        <v>0</v>
      </c>
      <c r="C24" s="92">
        <f>Projeções!G188</f>
        <v>0</v>
      </c>
      <c r="D24" s="92">
        <f>Projeções!H188</f>
        <v>0</v>
      </c>
      <c r="E24" s="92">
        <f>Projeções!I188</f>
        <v>0</v>
      </c>
    </row>
    <row r="25" spans="1:5" ht="12.95" customHeight="1" x14ac:dyDescent="0.2">
      <c r="A25" s="98" t="s">
        <v>251</v>
      </c>
      <c r="B25" s="93">
        <f>SUM(B17:B24)</f>
        <v>361705.11553311668</v>
      </c>
      <c r="C25" s="93">
        <f>SUM(C17:C24)</f>
        <v>388599.19512023719</v>
      </c>
      <c r="D25" s="93">
        <f>SUM(D17:D24)</f>
        <v>408767.65360406425</v>
      </c>
      <c r="E25" s="93">
        <f>SUM(E17:E24)</f>
        <v>436294.17602159519</v>
      </c>
    </row>
    <row r="26" spans="1:5" ht="12.95" customHeight="1" x14ac:dyDescent="0.2">
      <c r="A26" s="239" t="s">
        <v>271</v>
      </c>
      <c r="B26" s="94">
        <f>B13-B25</f>
        <v>144086.01994088333</v>
      </c>
      <c r="C26" s="94">
        <f>C13-C25</f>
        <v>137418.39310856222</v>
      </c>
      <c r="D26" s="94">
        <f>D13-D25</f>
        <v>139472.91022891144</v>
      </c>
      <c r="E26" s="94">
        <f>E13-E25</f>
        <v>135496.73398597125</v>
      </c>
    </row>
    <row r="27" spans="1:5" ht="12.95" customHeight="1" x14ac:dyDescent="0.2"/>
    <row r="28" spans="1:5" ht="12.95" customHeight="1" x14ac:dyDescent="0.2"/>
    <row r="29" spans="1:5" ht="12.95" customHeight="1" x14ac:dyDescent="0.2"/>
    <row r="30" spans="1:5" ht="12.95" customHeight="1" x14ac:dyDescent="0.2"/>
    <row r="31" spans="1:5" ht="12.95" customHeight="1" x14ac:dyDescent="0.2"/>
    <row r="32" spans="1:5" ht="12.95" customHeight="1" x14ac:dyDescent="0.2"/>
    <row r="33" ht="12.95" customHeight="1" x14ac:dyDescent="0.2"/>
    <row r="34" ht="12.95" customHeight="1" x14ac:dyDescent="0.2"/>
    <row r="35" ht="12.95" customHeight="1" x14ac:dyDescent="0.2"/>
    <row r="36" ht="12.95" customHeight="1" x14ac:dyDescent="0.2"/>
    <row r="37" ht="12.95" customHeight="1" x14ac:dyDescent="0.2"/>
    <row r="38" ht="12.95" customHeight="1" x14ac:dyDescent="0.2"/>
    <row r="39" ht="12.95" customHeight="1" x14ac:dyDescent="0.2"/>
    <row r="40" ht="12.95" customHeight="1" x14ac:dyDescent="0.2"/>
    <row r="41" ht="12.95" customHeight="1" x14ac:dyDescent="0.2"/>
    <row r="42" ht="12.95" customHeight="1" x14ac:dyDescent="0.2"/>
    <row r="43" ht="12.95" customHeight="1" x14ac:dyDescent="0.2"/>
    <row r="44" ht="12.95" customHeight="1" x14ac:dyDescent="0.2"/>
    <row r="45" ht="12.95" customHeight="1" x14ac:dyDescent="0.2"/>
    <row r="46" ht="12.95" customHeight="1" x14ac:dyDescent="0.2"/>
    <row r="47" ht="12.95" customHeight="1" x14ac:dyDescent="0.2"/>
    <row r="48" ht="12.95" customHeight="1" x14ac:dyDescent="0.2"/>
    <row r="49" ht="12.95" customHeight="1" x14ac:dyDescent="0.2"/>
    <row r="50" ht="12.95" customHeight="1" x14ac:dyDescent="0.2"/>
    <row r="51" ht="12.95" customHeight="1" x14ac:dyDescent="0.2"/>
    <row r="52" ht="12.95" customHeight="1" x14ac:dyDescent="0.2"/>
    <row r="53" ht="12.95" customHeight="1" x14ac:dyDescent="0.2"/>
    <row r="54" ht="12.95" customHeight="1" x14ac:dyDescent="0.2"/>
    <row r="55" ht="12.95" customHeight="1" x14ac:dyDescent="0.2"/>
    <row r="56" ht="12.95" customHeight="1" x14ac:dyDescent="0.2"/>
    <row r="57" ht="12.95" customHeight="1" x14ac:dyDescent="0.2"/>
    <row r="58" ht="12.95" customHeight="1" x14ac:dyDescent="0.2"/>
    <row r="59" ht="12.95" customHeight="1" x14ac:dyDescent="0.2"/>
    <row r="60" ht="12.95" customHeight="1" x14ac:dyDescent="0.2"/>
    <row r="61" ht="12.95" customHeight="1" x14ac:dyDescent="0.2"/>
    <row r="62" ht="12.95" customHeight="1" x14ac:dyDescent="0.2"/>
    <row r="63" ht="12.95" customHeight="1" x14ac:dyDescent="0.2"/>
    <row r="64" ht="12.95" customHeight="1" x14ac:dyDescent="0.2"/>
    <row r="65" ht="12.95" customHeight="1" x14ac:dyDescent="0.2"/>
    <row r="66" ht="12.95" customHeight="1" x14ac:dyDescent="0.2"/>
    <row r="67" ht="12.95" customHeight="1" x14ac:dyDescent="0.2"/>
    <row r="68" ht="12.95" customHeight="1" x14ac:dyDescent="0.2"/>
    <row r="69" ht="12.95" customHeight="1" x14ac:dyDescent="0.2"/>
    <row r="70" ht="12.95" customHeight="1" x14ac:dyDescent="0.2"/>
    <row r="71" ht="12.95" customHeight="1" x14ac:dyDescent="0.2"/>
    <row r="72" ht="12.95" customHeight="1" x14ac:dyDescent="0.2"/>
    <row r="73" ht="12.95" customHeight="1" x14ac:dyDescent="0.2"/>
    <row r="74" ht="12.95" customHeight="1" x14ac:dyDescent="0.2"/>
    <row r="75" ht="12.95" customHeight="1" x14ac:dyDescent="0.2"/>
    <row r="76" ht="12.95" customHeight="1" x14ac:dyDescent="0.2"/>
    <row r="77" ht="12.95" customHeight="1" x14ac:dyDescent="0.2"/>
    <row r="78" ht="12.95" customHeight="1" x14ac:dyDescent="0.2"/>
    <row r="79" ht="12.95" customHeight="1" x14ac:dyDescent="0.2"/>
    <row r="80" ht="12.95" customHeight="1" x14ac:dyDescent="0.2"/>
    <row r="81" ht="12.95" customHeight="1" x14ac:dyDescent="0.2"/>
    <row r="82" ht="12.95" customHeight="1" x14ac:dyDescent="0.2"/>
    <row r="83" ht="12.95" customHeight="1" x14ac:dyDescent="0.2"/>
  </sheetData>
  <mergeCells count="4">
    <mergeCell ref="A1:E1"/>
    <mergeCell ref="A2:E2"/>
    <mergeCell ref="A3:E3"/>
    <mergeCell ref="B5:E5"/>
  </mergeCells>
  <pageMargins left="0.511811024" right="0.511811024" top="0.78740157499999996" bottom="0.78740157499999996" header="0.31496062000000002" footer="0.31496062000000002"/>
  <pageSetup paperSize="9" scale="7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4CB48-F79D-40FC-AD97-F6475071E020}">
  <sheetPr>
    <pageSetUpPr fitToPage="1"/>
  </sheetPr>
  <dimension ref="A1:F83"/>
  <sheetViews>
    <sheetView tabSelected="1" workbookViewId="0">
      <selection activeCell="E26" sqref="A1:E26"/>
    </sheetView>
  </sheetViews>
  <sheetFormatPr defaultRowHeight="12.75" x14ac:dyDescent="0.2"/>
  <cols>
    <col min="1" max="1" width="82.28515625" style="59" customWidth="1"/>
    <col min="2" max="3" width="15.7109375" style="59" bestFit="1" customWidth="1"/>
    <col min="4" max="4" width="15.7109375" style="100" bestFit="1" customWidth="1"/>
    <col min="5" max="5" width="15.7109375" style="59" bestFit="1" customWidth="1"/>
    <col min="6" max="16384" width="9.140625" style="59"/>
  </cols>
  <sheetData>
    <row r="1" spans="1:6" s="58" customFormat="1" ht="12.95" customHeight="1" x14ac:dyDescent="0.2">
      <c r="A1" s="293" t="str">
        <f>Parâmetros!A7</f>
        <v>Município de Arroio do Padre / RS</v>
      </c>
      <c r="B1" s="294"/>
      <c r="C1" s="294"/>
      <c r="D1" s="294"/>
      <c r="E1" s="294"/>
    </row>
    <row r="2" spans="1:6" s="58" customFormat="1" ht="21" customHeight="1" x14ac:dyDescent="0.2">
      <c r="A2" s="293" t="str">
        <f>Parâmetros!A8</f>
        <v>PLANO PLURIANUAL 2026 - 2029</v>
      </c>
      <c r="B2" s="294"/>
      <c r="C2" s="294"/>
      <c r="D2" s="294"/>
      <c r="E2" s="294"/>
    </row>
    <row r="3" spans="1:6" ht="12.95" customHeight="1" x14ac:dyDescent="0.25">
      <c r="A3" s="290" t="s">
        <v>397</v>
      </c>
      <c r="B3" s="291"/>
      <c r="C3" s="291"/>
      <c r="D3" s="291"/>
      <c r="E3" s="291"/>
    </row>
    <row r="4" spans="1:6" ht="12.95" customHeight="1" x14ac:dyDescent="0.2">
      <c r="A4" s="220"/>
      <c r="B4" s="220"/>
      <c r="C4" s="220"/>
      <c r="D4" s="178"/>
      <c r="E4" s="221"/>
    </row>
    <row r="5" spans="1:6" ht="12.95" customHeight="1" x14ac:dyDescent="0.2">
      <c r="A5" s="222" t="s">
        <v>252</v>
      </c>
      <c r="B5" s="295"/>
      <c r="C5" s="295"/>
      <c r="D5" s="295"/>
      <c r="E5" s="295"/>
    </row>
    <row r="6" spans="1:6" ht="12.95" customHeight="1" x14ac:dyDescent="0.2">
      <c r="A6" s="223" t="s">
        <v>253</v>
      </c>
      <c r="B6" s="224">
        <f>Parâmetros!C10</f>
        <v>2026</v>
      </c>
      <c r="C6" s="225">
        <f>B6+1</f>
        <v>2027</v>
      </c>
      <c r="D6" s="225">
        <f>C6+1</f>
        <v>2028</v>
      </c>
      <c r="E6" s="225">
        <f>D6+1</f>
        <v>2029</v>
      </c>
    </row>
    <row r="7" spans="1:6" ht="12.95" customHeight="1" x14ac:dyDescent="0.2">
      <c r="A7" s="207" t="s">
        <v>272</v>
      </c>
      <c r="B7" s="208">
        <f>Projeções!F116</f>
        <v>30900000.004722826</v>
      </c>
      <c r="C7" s="208">
        <f>Projeções!G116</f>
        <v>32200000.000746116</v>
      </c>
      <c r="D7" s="208">
        <f>Projeções!H116</f>
        <v>34000000.003946528</v>
      </c>
      <c r="E7" s="226">
        <f>Projeções!I116</f>
        <v>35799999.999337606</v>
      </c>
      <c r="F7" s="227"/>
    </row>
    <row r="8" spans="1:6" ht="12.95" customHeight="1" x14ac:dyDescent="0.2">
      <c r="A8" s="207" t="s">
        <v>273</v>
      </c>
      <c r="B8" s="208">
        <f>Educação!B21</f>
        <v>6779889.7234590817</v>
      </c>
      <c r="C8" s="208">
        <f>Educação!C21</f>
        <v>7034468.5664459197</v>
      </c>
      <c r="D8" s="208">
        <f>Educação!D21</f>
        <v>7296403.1736274464</v>
      </c>
      <c r="E8" s="228">
        <f>Educação!E21</f>
        <v>7569784.4711066214</v>
      </c>
    </row>
    <row r="9" spans="1:6" ht="12.95" customHeight="1" x14ac:dyDescent="0.2">
      <c r="A9" s="207" t="s">
        <v>274</v>
      </c>
      <c r="B9" s="208">
        <f>Saúde!B20</f>
        <v>5322792.1927328482</v>
      </c>
      <c r="C9" s="208">
        <f>Saúde!C20</f>
        <v>5546420.432097652</v>
      </c>
      <c r="D9" s="208">
        <f>Saúde!D20</f>
        <v>5960206.690471801</v>
      </c>
      <c r="E9" s="228">
        <f>Saúde!E20</f>
        <v>6301421.6719010454</v>
      </c>
    </row>
    <row r="10" spans="1:6" ht="12.95" customHeight="1" x14ac:dyDescent="0.2">
      <c r="A10" s="207" t="s">
        <v>275</v>
      </c>
      <c r="B10" s="208">
        <f>Ass.Social!B13</f>
        <v>505791.13547400001</v>
      </c>
      <c r="C10" s="208">
        <f>Ass.Social!C13</f>
        <v>526017.5882287994</v>
      </c>
      <c r="D10" s="208">
        <f>Ass.Social!D13</f>
        <v>548240.56383297569</v>
      </c>
      <c r="E10" s="228">
        <f>Ass.Social!E13</f>
        <v>571790.91000756645</v>
      </c>
    </row>
    <row r="11" spans="1:6" ht="12.95" customHeight="1" x14ac:dyDescent="0.2">
      <c r="A11" s="207" t="s">
        <v>377</v>
      </c>
      <c r="B11" s="208">
        <f>Câmara!B26</f>
        <v>1715840.0000000002</v>
      </c>
      <c r="C11" s="208">
        <f>Câmara!C26</f>
        <v>1745594.9334361292</v>
      </c>
      <c r="D11" s="208">
        <f>Câmara!D26</f>
        <v>1852890.2680532061</v>
      </c>
      <c r="E11" s="228">
        <f>Câmara!E26</f>
        <v>1963763.4293278072</v>
      </c>
    </row>
    <row r="12" spans="1:6" ht="12.95" customHeight="1" x14ac:dyDescent="0.2">
      <c r="A12" s="207"/>
      <c r="B12" s="208"/>
      <c r="C12" s="208"/>
      <c r="D12" s="208"/>
      <c r="E12" s="228"/>
    </row>
    <row r="13" spans="1:6" ht="12.95" customHeight="1" x14ac:dyDescent="0.2">
      <c r="A13" s="125" t="s">
        <v>276</v>
      </c>
      <c r="B13" s="126">
        <f>B7-B8-B9-B10-B11</f>
        <v>16575686.953056898</v>
      </c>
      <c r="C13" s="126">
        <f>C7-C8-C9-C10-C11</f>
        <v>17347498.480537616</v>
      </c>
      <c r="D13" s="126">
        <f>D7-D8-D9-D10-D11</f>
        <v>18342259.307961095</v>
      </c>
      <c r="E13" s="126">
        <f>E7-E8-E9-E10-E11</f>
        <v>19393239.516994566</v>
      </c>
    </row>
    <row r="14" spans="1:6" ht="12.95" customHeight="1" x14ac:dyDescent="0.2">
      <c r="A14" s="216"/>
      <c r="B14" s="229"/>
      <c r="C14" s="229"/>
      <c r="D14" s="229"/>
      <c r="E14" s="229"/>
    </row>
    <row r="15" spans="1:6" ht="12.95" customHeight="1" x14ac:dyDescent="0.2">
      <c r="A15" s="230" t="s">
        <v>277</v>
      </c>
      <c r="B15" s="231">
        <f>B6</f>
        <v>2026</v>
      </c>
      <c r="C15" s="231">
        <f>B15+1</f>
        <v>2027</v>
      </c>
      <c r="D15" s="231">
        <f>C15+1</f>
        <v>2028</v>
      </c>
      <c r="E15" s="231">
        <f>D15+1</f>
        <v>2029</v>
      </c>
    </row>
    <row r="16" spans="1:6" ht="12.95" customHeight="1" x14ac:dyDescent="0.2">
      <c r="A16" s="232"/>
      <c r="B16" s="233"/>
      <c r="C16" s="233"/>
      <c r="D16" s="233"/>
      <c r="E16" s="233"/>
    </row>
    <row r="17" spans="1:5" ht="12.95" customHeight="1" x14ac:dyDescent="0.2">
      <c r="A17" s="234" t="str">
        <f>Projeções!B134</f>
        <v>Pessoal e Encargos Sociais - Demais Áreas</v>
      </c>
      <c r="B17" s="235">
        <f>Projeções!F134</f>
        <v>3839805.8036296237</v>
      </c>
      <c r="C17" s="235">
        <f>Projeções!G134</f>
        <v>4108470.1096352567</v>
      </c>
      <c r="D17" s="235">
        <f>Projeções!H134</f>
        <v>4310669.0160250943</v>
      </c>
      <c r="E17" s="235">
        <f>Projeções!I134</f>
        <v>4589501.7308658874</v>
      </c>
    </row>
    <row r="18" spans="1:5" ht="12.95" customHeight="1" x14ac:dyDescent="0.2">
      <c r="A18" s="234" t="str">
        <f>Projeções!B141</f>
        <v>Juros e Encargos da Dívida - Demais Áreas</v>
      </c>
      <c r="B18" s="236">
        <f>Projeções!F141</f>
        <v>0</v>
      </c>
      <c r="C18" s="236">
        <f>Projeções!G141</f>
        <v>0</v>
      </c>
      <c r="D18" s="236">
        <f>Projeções!H141</f>
        <v>0</v>
      </c>
      <c r="E18" s="236">
        <f>Projeções!I141</f>
        <v>0</v>
      </c>
    </row>
    <row r="19" spans="1:5" ht="12.95" customHeight="1" x14ac:dyDescent="0.2">
      <c r="A19" s="234" t="str">
        <f>Projeções!B148</f>
        <v>Outros Benef.Assistênciais - Demais Áreas</v>
      </c>
      <c r="B19" s="236">
        <f>Projeções!F148</f>
        <v>0</v>
      </c>
      <c r="C19" s="236">
        <f>Projeções!G148</f>
        <v>0</v>
      </c>
      <c r="D19" s="236">
        <f>Projeções!H148</f>
        <v>0</v>
      </c>
      <c r="E19" s="236">
        <f>Projeções!I148</f>
        <v>0</v>
      </c>
    </row>
    <row r="20" spans="1:5" ht="12.95" customHeight="1" x14ac:dyDescent="0.2">
      <c r="A20" s="234" t="str">
        <f>Projeções!B155</f>
        <v>Auxílio - Alimentação - Demais Áreas</v>
      </c>
      <c r="B20" s="236">
        <f>Projeções!F155</f>
        <v>411215.08920086827</v>
      </c>
      <c r="C20" s="236">
        <f>Projeções!G155</f>
        <v>454988.03023084521</v>
      </c>
      <c r="D20" s="236">
        <f>Projeções!H155</f>
        <v>490402.33034294791</v>
      </c>
      <c r="E20" s="236">
        <f>Projeções!I155</f>
        <v>536380.95738119259</v>
      </c>
    </row>
    <row r="21" spans="1:5" ht="12.95" customHeight="1" x14ac:dyDescent="0.2">
      <c r="A21" s="234" t="str">
        <f>Projeções!B162</f>
        <v>Obrigações Tributárias e Contributivas -Demais Áreas</v>
      </c>
      <c r="B21" s="236">
        <f>Projeções!F162</f>
        <v>325396.90570178011</v>
      </c>
      <c r="C21" s="236">
        <f>Projeções!G162</f>
        <v>341983.62476834108</v>
      </c>
      <c r="D21" s="236">
        <f>Projeções!H162</f>
        <v>364660.57529764844</v>
      </c>
      <c r="E21" s="236">
        <f>Projeções!I162</f>
        <v>385764.58084272308</v>
      </c>
    </row>
    <row r="22" spans="1:5" ht="12.95" customHeight="1" x14ac:dyDescent="0.2">
      <c r="A22" s="234" t="str">
        <f>Projeções!B169</f>
        <v>Sentenças Judiciais - Demais Áreas</v>
      </c>
      <c r="B22" s="236">
        <f>Projeções!F169</f>
        <v>0</v>
      </c>
      <c r="C22" s="236">
        <f>Projeções!G169</f>
        <v>0</v>
      </c>
      <c r="D22" s="236">
        <f>Projeções!H169</f>
        <v>0</v>
      </c>
      <c r="E22" s="236">
        <f>Projeções!I169</f>
        <v>0</v>
      </c>
    </row>
    <row r="23" spans="1:5" ht="12.95" customHeight="1" x14ac:dyDescent="0.2">
      <c r="A23" s="234" t="str">
        <f>Projeções!B176</f>
        <v>Indenizações e Restituições - Demais Áreas</v>
      </c>
      <c r="B23" s="236">
        <f>Projeções!F176+Projeções!F183</f>
        <v>3567.6495466666665</v>
      </c>
      <c r="C23" s="236">
        <f>Projeções!G176+Projeções!G183</f>
        <v>3064.5538668142226</v>
      </c>
      <c r="D23" s="236">
        <f>Projeções!H176+Projeções!H183</f>
        <v>3680.868821747084</v>
      </c>
      <c r="E23" s="236">
        <f>Projeções!I176+Projeções!I183</f>
        <v>3569.3543006124019</v>
      </c>
    </row>
    <row r="24" spans="1:5" ht="12.95" customHeight="1" x14ac:dyDescent="0.2">
      <c r="A24" s="234" t="str">
        <f>Projeções!B190</f>
        <v>Amortização da Dívida - Demais Áreas</v>
      </c>
      <c r="B24" s="236">
        <f>Projeções!F190</f>
        <v>0</v>
      </c>
      <c r="C24" s="236">
        <f>Projeções!G190</f>
        <v>0</v>
      </c>
      <c r="D24" s="236">
        <f>Projeções!H190</f>
        <v>0</v>
      </c>
      <c r="E24" s="236">
        <f>Projeções!I190</f>
        <v>0</v>
      </c>
    </row>
    <row r="25" spans="1:5" ht="12.95" customHeight="1" x14ac:dyDescent="0.2">
      <c r="A25" s="237" t="s">
        <v>251</v>
      </c>
      <c r="B25" s="238">
        <f>SUM(B17:B24)</f>
        <v>4579985.4480789388</v>
      </c>
      <c r="C25" s="238">
        <f>SUM(C17:C24)</f>
        <v>4908506.3185012564</v>
      </c>
      <c r="D25" s="238">
        <f>SUM(D17:D24)</f>
        <v>5169412.7904874366</v>
      </c>
      <c r="E25" s="238">
        <f>SUM(E17:E24)</f>
        <v>5515216.6233904157</v>
      </c>
    </row>
    <row r="26" spans="1:5" ht="12.95" customHeight="1" x14ac:dyDescent="0.2">
      <c r="A26" s="239" t="s">
        <v>278</v>
      </c>
      <c r="B26" s="240">
        <f>B13-B25</f>
        <v>11995701.50497796</v>
      </c>
      <c r="C26" s="240">
        <f>C13-C25</f>
        <v>12438992.162036359</v>
      </c>
      <c r="D26" s="240">
        <f>D13-D25</f>
        <v>13172846.517473659</v>
      </c>
      <c r="E26" s="240">
        <f>E13-E25</f>
        <v>13878022.89360415</v>
      </c>
    </row>
    <row r="27" spans="1:5" ht="12.95" customHeight="1" x14ac:dyDescent="0.2"/>
    <row r="28" spans="1:5" ht="12.95" customHeight="1" x14ac:dyDescent="0.2"/>
    <row r="29" spans="1:5" ht="12.95" customHeight="1" x14ac:dyDescent="0.2"/>
    <row r="30" spans="1:5" ht="12.95" customHeight="1" x14ac:dyDescent="0.2"/>
    <row r="31" spans="1:5" ht="12.95" customHeight="1" x14ac:dyDescent="0.2"/>
    <row r="32" spans="1:5" ht="12.95" customHeight="1" x14ac:dyDescent="0.2"/>
    <row r="33" ht="12.95" customHeight="1" x14ac:dyDescent="0.2"/>
    <row r="34" ht="12.95" customHeight="1" x14ac:dyDescent="0.2"/>
    <row r="35" ht="12.95" customHeight="1" x14ac:dyDescent="0.2"/>
    <row r="36" ht="12.95" customHeight="1" x14ac:dyDescent="0.2"/>
    <row r="37" ht="12.95" customHeight="1" x14ac:dyDescent="0.2"/>
    <row r="38" ht="12.95" customHeight="1" x14ac:dyDescent="0.2"/>
    <row r="39" ht="12.95" customHeight="1" x14ac:dyDescent="0.2"/>
    <row r="40" ht="12.95" customHeight="1" x14ac:dyDescent="0.2"/>
    <row r="41" ht="12.95" customHeight="1" x14ac:dyDescent="0.2"/>
    <row r="42" ht="12.95" customHeight="1" x14ac:dyDescent="0.2"/>
    <row r="43" ht="12.95" customHeight="1" x14ac:dyDescent="0.2"/>
    <row r="44" ht="12.95" customHeight="1" x14ac:dyDescent="0.2"/>
    <row r="45" ht="12.95" customHeight="1" x14ac:dyDescent="0.2"/>
    <row r="46" ht="12.95" customHeight="1" x14ac:dyDescent="0.2"/>
    <row r="47" ht="12.95" customHeight="1" x14ac:dyDescent="0.2"/>
    <row r="48" ht="12.95" customHeight="1" x14ac:dyDescent="0.2"/>
    <row r="49" ht="12.95" customHeight="1" x14ac:dyDescent="0.2"/>
    <row r="50" ht="12.95" customHeight="1" x14ac:dyDescent="0.2"/>
    <row r="51" ht="12.95" customHeight="1" x14ac:dyDescent="0.2"/>
    <row r="52" ht="12.95" customHeight="1" x14ac:dyDescent="0.2"/>
    <row r="53" ht="12.95" customHeight="1" x14ac:dyDescent="0.2"/>
    <row r="54" ht="12.95" customHeight="1" x14ac:dyDescent="0.2"/>
    <row r="55" ht="12.95" customHeight="1" x14ac:dyDescent="0.2"/>
    <row r="56" ht="12.95" customHeight="1" x14ac:dyDescent="0.2"/>
    <row r="57" ht="12.95" customHeight="1" x14ac:dyDescent="0.2"/>
    <row r="58" ht="12.95" customHeight="1" x14ac:dyDescent="0.2"/>
    <row r="59" ht="12.95" customHeight="1" x14ac:dyDescent="0.2"/>
    <row r="60" ht="12.95" customHeight="1" x14ac:dyDescent="0.2"/>
    <row r="61" ht="12.95" customHeight="1" x14ac:dyDescent="0.2"/>
    <row r="62" ht="12.95" customHeight="1" x14ac:dyDescent="0.2"/>
    <row r="63" ht="12.95" customHeight="1" x14ac:dyDescent="0.2"/>
    <row r="64" ht="12.95" customHeight="1" x14ac:dyDescent="0.2"/>
    <row r="65" ht="12.95" customHeight="1" x14ac:dyDescent="0.2"/>
    <row r="66" ht="12.95" customHeight="1" x14ac:dyDescent="0.2"/>
    <row r="67" ht="12.95" customHeight="1" x14ac:dyDescent="0.2"/>
    <row r="68" ht="12.95" customHeight="1" x14ac:dyDescent="0.2"/>
    <row r="69" ht="12.95" customHeight="1" x14ac:dyDescent="0.2"/>
    <row r="70" ht="12.95" customHeight="1" x14ac:dyDescent="0.2"/>
    <row r="71" ht="12.95" customHeight="1" x14ac:dyDescent="0.2"/>
    <row r="72" ht="12.95" customHeight="1" x14ac:dyDescent="0.2"/>
    <row r="73" ht="12.95" customHeight="1" x14ac:dyDescent="0.2"/>
    <row r="74" ht="12.95" customHeight="1" x14ac:dyDescent="0.2"/>
    <row r="75" ht="12.95" customHeight="1" x14ac:dyDescent="0.2"/>
    <row r="76" ht="12.95" customHeight="1" x14ac:dyDescent="0.2"/>
    <row r="77" ht="12.95" customHeight="1" x14ac:dyDescent="0.2"/>
    <row r="78" ht="12.95" customHeight="1" x14ac:dyDescent="0.2"/>
    <row r="79" ht="12.95" customHeight="1" x14ac:dyDescent="0.2"/>
    <row r="80" ht="12.95" customHeight="1" x14ac:dyDescent="0.2"/>
    <row r="81" ht="12.95" customHeight="1" x14ac:dyDescent="0.2"/>
    <row r="82" ht="12.95" customHeight="1" x14ac:dyDescent="0.2"/>
    <row r="83" ht="12.95" customHeight="1" x14ac:dyDescent="0.2"/>
  </sheetData>
  <mergeCells count="4">
    <mergeCell ref="A1:E1"/>
    <mergeCell ref="A2:E2"/>
    <mergeCell ref="A3:E3"/>
    <mergeCell ref="B5:E5"/>
  </mergeCells>
  <pageMargins left="0.511811024" right="0.511811024" top="0.78740157499999996" bottom="0.78740157499999996" header="0.31496062000000002" footer="0.31496062000000002"/>
  <pageSetup paperSize="9" scale="4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895757c-a34f-4682-aba1-6b8a1e936109">
      <Terms xmlns="http://schemas.microsoft.com/office/infopath/2007/PartnerControls"/>
    </lcf76f155ced4ddcb4097134ff3c332f>
    <TaxCatchAll xmlns="ff5be268-706f-4c28-ab3b-84e3344dd248"/>
    <J_x00da_LIOC_x00c9_SARFUCILINIPAUSE xmlns="6895757c-a34f-4682-aba1-6b8a1e936109">
      <Url xsi:nil="true"/>
      <Description xsi:nil="true"/>
    </J_x00da_LIOC_x00c9_SARFUCILINIPAUS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7442E6F8E99D547932347400F8A4643" ma:contentTypeVersion="16" ma:contentTypeDescription="Crie um novo documento." ma:contentTypeScope="" ma:versionID="3e07038bb6566c824baf1f72ba03d82e">
  <xsd:schema xmlns:xsd="http://www.w3.org/2001/XMLSchema" xmlns:xs="http://www.w3.org/2001/XMLSchema" xmlns:p="http://schemas.microsoft.com/office/2006/metadata/properties" xmlns:ns2="6895757c-a34f-4682-aba1-6b8a1e936109" xmlns:ns3="ff5be268-706f-4c28-ab3b-84e3344dd248" targetNamespace="http://schemas.microsoft.com/office/2006/metadata/properties" ma:root="true" ma:fieldsID="dfae709ca811aa64357116a19ed92686" ns2:_="" ns3:_="">
    <xsd:import namespace="6895757c-a34f-4682-aba1-6b8a1e936109"/>
    <xsd:import namespace="ff5be268-706f-4c28-ab3b-84e3344dd2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J_x00da_LIOC_x00c9_SARFUCILINIPAUS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95757c-a34f-4682-aba1-6b8a1e9361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Marcações de imagem" ma:readOnly="false" ma:fieldId="{5cf76f15-5ced-4ddc-b409-7134ff3c332f}" ma:taxonomyMulti="true" ma:sspId="31a15f92-5b47-4215-87b2-1170ea39a2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J_x00da_LIOC_x00c9_SARFUCILINIPAUSE" ma:index="23" nillable="true" ma:displayName="JÚLIO CÉSAR  FUCILINI PAUSE" ma:format="Hyperlink" ma:internalName="J_x00da_LIOC_x00c9_SARFUCILINIPAU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be268-706f-4c28-ab3b-84e3344dd248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f3208340-8ade-49de-ab85-72a4f53c27e2}" ma:internalName="TaxCatchAll" ma:showField="CatchAllData" ma:web="ff5be268-706f-4c28-ab3b-84e3344dd2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3C0A5D6D-7E15-4AE0-A9B5-641102CF3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F93E0B-71A4-4749-87B3-18FEEB4AF703}">
  <ds:schemaRefs>
    <ds:schemaRef ds:uri="http://schemas.microsoft.com/office/2006/metadata/properties"/>
    <ds:schemaRef ds:uri="http://schemas.microsoft.com/office/infopath/2007/PartnerControls"/>
    <ds:schemaRef ds:uri="6895757c-a34f-4682-aba1-6b8a1e936109"/>
    <ds:schemaRef ds:uri="ff5be268-706f-4c28-ab3b-84e3344dd248"/>
  </ds:schemaRefs>
</ds:datastoreItem>
</file>

<file path=customXml/itemProps3.xml><?xml version="1.0" encoding="utf-8"?>
<ds:datastoreItem xmlns:ds="http://schemas.openxmlformats.org/officeDocument/2006/customXml" ds:itemID="{663ECAB5-11A3-49D0-923D-0753107D06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95757c-a34f-4682-aba1-6b8a1e936109"/>
    <ds:schemaRef ds:uri="ff5be268-706f-4c28-ab3b-84e3344dd2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76C0057-CDEE-439B-8AA8-A6648C1E36BE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2</vt:i4>
      </vt:variant>
    </vt:vector>
  </HeadingPairs>
  <TitlesOfParts>
    <vt:vector size="11" baseType="lpstr">
      <vt:lpstr>Parâmetros</vt:lpstr>
      <vt:lpstr>Projeções</vt:lpstr>
      <vt:lpstr>RCL</vt:lpstr>
      <vt:lpstr>Pessoal</vt:lpstr>
      <vt:lpstr>Câmara</vt:lpstr>
      <vt:lpstr>Educação</vt:lpstr>
      <vt:lpstr>Saúde</vt:lpstr>
      <vt:lpstr>Ass.Social</vt:lpstr>
      <vt:lpstr>Consolidação</vt:lpstr>
      <vt:lpstr>Parâmetros!Area_de_impressao</vt:lpstr>
      <vt:lpstr>Projeções!Area_de_impressao</vt:lpstr>
    </vt:vector>
  </TitlesOfParts>
  <Company>DPM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 de Metas e Riscos Fiscais</dc:title>
  <dc:creator>Lourenço de Wallau - Deleg de Prefeituras Municipais</dc:creator>
  <cp:lastModifiedBy>user</cp:lastModifiedBy>
  <cp:lastPrinted>2025-05-30T18:41:31Z</cp:lastPrinted>
  <dcterms:created xsi:type="dcterms:W3CDTF">2000-07-04T17:38:30Z</dcterms:created>
  <dcterms:modified xsi:type="dcterms:W3CDTF">2025-05-30T18:42:42Z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BUILTIN\administrators</vt:lpwstr>
  </property>
  <property fmtid="{D5CDD505-2E9C-101B-9397-08002B2CF9AE}" pid="3" name="Order">
    <vt:lpwstr>20489000.0000000</vt:lpwstr>
  </property>
  <property fmtid="{D5CDD505-2E9C-101B-9397-08002B2CF9AE}" pid="4" name="display_urn:schemas-microsoft-com:office:office#Author">
    <vt:lpwstr>BUILTIN\administrators</vt:lpwstr>
  </property>
</Properties>
</file>